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C:\Users\Public\Documents\AllStaff\SynologyDrive\Sustainability\DFC\IDP\"/>
    </mc:Choice>
  </mc:AlternateContent>
  <xr:revisionPtr revIDLastSave="0" documentId="8_{2395AE47-3A09-4AC3-B536-5120B2AB4310}" xr6:coauthVersionLast="47" xr6:coauthVersionMax="47" xr10:uidLastSave="{00000000-0000-0000-0000-000000000000}"/>
  <bookViews>
    <workbookView xWindow="-120" yWindow="-120" windowWidth="20730" windowHeight="11040" activeTab="2" xr2:uid="{18555E50-5B77-4CD5-A616-B61BFC95C045}"/>
  </bookViews>
  <sheets>
    <sheet name="SOW, Budget and Schedule" sheetId="1" state="hidden" r:id="rId1"/>
    <sheet name="Revised Budget" sheetId="14" state="hidden" r:id="rId2"/>
    <sheet name="Revised Budget 2.0" sheetId="23" r:id="rId3"/>
  </sheet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6" i="23" l="1"/>
  <c r="W105" i="23"/>
  <c r="W76" i="23"/>
  <c r="W45" i="23"/>
  <c r="W19" i="23"/>
  <c r="R126" i="23"/>
  <c r="K116" i="23"/>
  <c r="R32" i="23"/>
  <c r="V8" i="23"/>
  <c r="K61" i="23"/>
  <c r="T61" i="23" s="1"/>
  <c r="K34" i="23"/>
  <c r="K51" i="23"/>
  <c r="K94" i="23"/>
  <c r="Q81" i="23"/>
  <c r="U39" i="23" l="1"/>
  <c r="P19" i="23" l="1"/>
  <c r="T59" i="23"/>
  <c r="S55" i="23"/>
  <c r="S56" i="23"/>
  <c r="S54" i="23"/>
  <c r="R50" i="23" l="1"/>
  <c r="R52" i="23"/>
  <c r="R51" i="23"/>
  <c r="K82" i="23" l="1"/>
  <c r="N20" i="23" l="1"/>
  <c r="K45" i="23"/>
  <c r="J68" i="23"/>
  <c r="U68" i="23" s="1"/>
  <c r="U76" i="23" s="1"/>
  <c r="K10" i="23" l="1"/>
  <c r="U109" i="23" l="1"/>
  <c r="S116" i="23"/>
  <c r="J108" i="23"/>
  <c r="U108" i="23" s="1"/>
  <c r="I108" i="23"/>
  <c r="I125" i="23"/>
  <c r="I118" i="23"/>
  <c r="Q113" i="23"/>
  <c r="I101" i="23"/>
  <c r="I105" i="23" s="1"/>
  <c r="I74" i="23"/>
  <c r="I66" i="23"/>
  <c r="I43" i="23"/>
  <c r="I45" i="23" s="1"/>
  <c r="I19" i="23"/>
  <c r="T33" i="23"/>
  <c r="V20" i="23"/>
  <c r="I126" i="23" l="1"/>
  <c r="I76" i="23"/>
  <c r="T34" i="23"/>
  <c r="N21" i="23"/>
  <c r="P23" i="23"/>
  <c r="P29" i="23"/>
  <c r="Q126" i="23"/>
  <c r="T116" i="23"/>
  <c r="K76" i="23"/>
  <c r="U123" i="23"/>
  <c r="U122" i="23"/>
  <c r="U126" i="23" s="1"/>
  <c r="V107" i="23"/>
  <c r="V109" i="23"/>
  <c r="V106" i="23"/>
  <c r="K108" i="23"/>
  <c r="K110" i="23"/>
  <c r="V110" i="23" s="1"/>
  <c r="K111" i="23"/>
  <c r="V111" i="23" s="1"/>
  <c r="P126" i="23"/>
  <c r="U103" i="23"/>
  <c r="V108" i="23" l="1"/>
  <c r="K126" i="23"/>
  <c r="V126" i="23"/>
  <c r="J101" i="23" l="1"/>
  <c r="J105" i="23" s="1"/>
  <c r="Q88" i="23"/>
  <c r="S89" i="23"/>
  <c r="S87" i="23"/>
  <c r="Q86" i="23"/>
  <c r="R83" i="23"/>
  <c r="S84" i="23"/>
  <c r="R82" i="23"/>
  <c r="R105" i="23" s="1"/>
  <c r="P105" i="23"/>
  <c r="T94" i="23"/>
  <c r="T95" i="23"/>
  <c r="S92" i="23"/>
  <c r="S85" i="23"/>
  <c r="S78" i="23"/>
  <c r="U77" i="23"/>
  <c r="U105" i="23" s="1"/>
  <c r="K77" i="23"/>
  <c r="K105" i="23" s="1"/>
  <c r="V77" i="23"/>
  <c r="V105" i="23" s="1"/>
  <c r="S93" i="23"/>
  <c r="P76" i="23"/>
  <c r="V76" i="23"/>
  <c r="J66" i="23"/>
  <c r="J76" i="23" s="1"/>
  <c r="U20" i="23"/>
  <c r="U45" i="23" s="1"/>
  <c r="V25" i="23"/>
  <c r="V21" i="23"/>
  <c r="P45" i="23"/>
  <c r="U19" i="23"/>
  <c r="K7" i="23"/>
  <c r="K6" i="23"/>
  <c r="V6" i="23"/>
  <c r="U128" i="23" l="1"/>
  <c r="P128" i="23"/>
  <c r="S126" i="23" l="1"/>
  <c r="J126" i="23"/>
  <c r="F134" i="23"/>
  <c r="M126" i="23"/>
  <c r="O109" i="23"/>
  <c r="O126" i="23" s="1"/>
  <c r="S105" i="23"/>
  <c r="O105" i="23"/>
  <c r="N105" i="23"/>
  <c r="T96" i="23"/>
  <c r="T105" i="23" s="1"/>
  <c r="Q80" i="23"/>
  <c r="Q105" i="23" s="1"/>
  <c r="O76" i="23"/>
  <c r="N76" i="23"/>
  <c r="M76" i="23"/>
  <c r="T62" i="23"/>
  <c r="S60" i="23"/>
  <c r="S58" i="23"/>
  <c r="S57" i="23"/>
  <c r="S76" i="23" s="1"/>
  <c r="R53" i="23"/>
  <c r="T45" i="23"/>
  <c r="M45" i="23"/>
  <c r="J45" i="23"/>
  <c r="S45" i="23"/>
  <c r="N30" i="23"/>
  <c r="Q45" i="23"/>
  <c r="N27" i="23"/>
  <c r="N24" i="23"/>
  <c r="O22" i="23"/>
  <c r="O45" i="23" s="1"/>
  <c r="T19" i="23"/>
  <c r="O19" i="23"/>
  <c r="J19" i="23"/>
  <c r="R19" i="23"/>
  <c r="V19" i="23" s="1"/>
  <c r="S19" i="23"/>
  <c r="Q19" i="23"/>
  <c r="M19" i="23"/>
  <c r="N5" i="23"/>
  <c r="K4" i="23"/>
  <c r="N3" i="23"/>
  <c r="F119" i="14"/>
  <c r="L78" i="14"/>
  <c r="J78" i="14" s="1"/>
  <c r="J100" i="14"/>
  <c r="P24" i="14"/>
  <c r="J67" i="14"/>
  <c r="L6" i="14"/>
  <c r="J6" i="14"/>
  <c r="J53" i="14"/>
  <c r="J40" i="14"/>
  <c r="L67" i="14"/>
  <c r="Q115" i="14"/>
  <c r="V24" i="23" l="1"/>
  <c r="N45" i="23"/>
  <c r="S128" i="23"/>
  <c r="N126" i="23"/>
  <c r="T76" i="23"/>
  <c r="T126" i="23"/>
  <c r="R45" i="23"/>
  <c r="R76" i="23"/>
  <c r="N4" i="23"/>
  <c r="N19" i="23" s="1"/>
  <c r="K19" i="23"/>
  <c r="Q76" i="23"/>
  <c r="Q128" i="23" s="1"/>
  <c r="O128" i="23"/>
  <c r="O130" i="23" s="1"/>
  <c r="L92" i="14"/>
  <c r="J92" i="14"/>
  <c r="I92" i="14"/>
  <c r="J111" i="14"/>
  <c r="K117" i="14" s="1"/>
  <c r="R53" i="14"/>
  <c r="V45" i="23" l="1"/>
  <c r="V128" i="23" s="1"/>
  <c r="S130" i="23"/>
  <c r="T128" i="23"/>
  <c r="Q130" i="23"/>
  <c r="R128" i="23"/>
  <c r="N128" i="23"/>
  <c r="N130" i="23" s="1"/>
  <c r="M105" i="23"/>
  <c r="M128" i="23" s="1"/>
  <c r="M130" i="23" s="1"/>
  <c r="K128" i="23"/>
  <c r="U131" i="23" s="1"/>
  <c r="L97" i="14"/>
  <c r="R100" i="14" s="1"/>
  <c r="R111" i="14" s="1"/>
  <c r="O135" i="23" l="1"/>
  <c r="N135" i="23"/>
  <c r="K130" i="23"/>
  <c r="J127" i="23"/>
  <c r="J128" i="23" s="1"/>
  <c r="J130" i="23" s="1"/>
  <c r="I127" i="23"/>
  <c r="I128" i="23" s="1"/>
  <c r="I130" i="23" s="1"/>
  <c r="R130" i="23"/>
  <c r="T130" i="23"/>
  <c r="I65" i="14"/>
  <c r="I37" i="14"/>
  <c r="I62" i="14"/>
  <c r="R54" i="14"/>
  <c r="Q52" i="14"/>
  <c r="P51" i="14"/>
  <c r="P50" i="14"/>
  <c r="P47" i="14"/>
  <c r="P46" i="14"/>
  <c r="P45" i="14"/>
  <c r="O42" i="14"/>
  <c r="O41" i="14"/>
  <c r="I17" i="14" l="1"/>
  <c r="Q10" i="14"/>
  <c r="Q9" i="14"/>
  <c r="P8" i="14"/>
  <c r="O7" i="14"/>
  <c r="M5" i="14"/>
  <c r="Q31" i="14"/>
  <c r="P76" i="14" l="1"/>
  <c r="P75" i="14"/>
  <c r="P73" i="14"/>
  <c r="O68" i="14"/>
  <c r="O69" i="14"/>
  <c r="L39" i="14"/>
  <c r="O111" i="14"/>
  <c r="J39" i="14"/>
  <c r="P29" i="14"/>
  <c r="L17" i="14"/>
  <c r="L66" i="14"/>
  <c r="L111" i="14"/>
  <c r="L113" i="14" l="1"/>
  <c r="L115" i="14" s="1"/>
  <c r="O70" i="14"/>
  <c r="P11" i="14" l="1"/>
  <c r="P17" i="14" s="1"/>
  <c r="M95" i="14"/>
  <c r="M94" i="14"/>
  <c r="M93" i="14"/>
  <c r="N96" i="14"/>
  <c r="P111" i="14"/>
  <c r="Q111" i="14"/>
  <c r="P49" i="14"/>
  <c r="P48" i="14"/>
  <c r="O44" i="14"/>
  <c r="O43" i="14"/>
  <c r="M66" i="14"/>
  <c r="R81" i="14"/>
  <c r="R92" i="14" s="1"/>
  <c r="Q80" i="14"/>
  <c r="P74" i="14"/>
  <c r="P77" i="14"/>
  <c r="M92" i="14"/>
  <c r="O72" i="14"/>
  <c r="O71" i="14"/>
  <c r="P30" i="14"/>
  <c r="Q39" i="14"/>
  <c r="R39" i="14"/>
  <c r="M28" i="14"/>
  <c r="O27" i="14"/>
  <c r="M25" i="14"/>
  <c r="M22" i="14"/>
  <c r="N20" i="14"/>
  <c r="Q17" i="14"/>
  <c r="R17" i="14"/>
  <c r="M3" i="14"/>
  <c r="N111" i="14" l="1"/>
  <c r="O92" i="14"/>
  <c r="R66" i="14"/>
  <c r="R113" i="14" s="1"/>
  <c r="R115" i="14" s="1"/>
  <c r="M111" i="14"/>
  <c r="Q92" i="14"/>
  <c r="P66" i="14"/>
  <c r="N92" i="14"/>
  <c r="N39" i="14"/>
  <c r="O66" i="14"/>
  <c r="Q66" i="14"/>
  <c r="P92" i="14"/>
  <c r="O39" i="14"/>
  <c r="P39" i="14"/>
  <c r="M39" i="14"/>
  <c r="N17" i="14"/>
  <c r="O17" i="14"/>
  <c r="Q113" i="14" l="1"/>
  <c r="P113" i="14"/>
  <c r="P115" i="14" s="1"/>
  <c r="O113" i="14"/>
  <c r="O115" i="14" s="1"/>
  <c r="J4" i="14"/>
  <c r="M4" i="14" s="1"/>
  <c r="M17" i="14" s="1"/>
  <c r="M113" i="14" s="1"/>
  <c r="M115" i="14" s="1"/>
  <c r="I111" i="14"/>
  <c r="I66" i="14"/>
  <c r="I39" i="14"/>
  <c r="I113" i="14" l="1"/>
  <c r="I115" i="14" s="1"/>
  <c r="J17" i="14"/>
  <c r="J69" i="1"/>
  <c r="L82" i="1"/>
  <c r="I20" i="1" l="1"/>
  <c r="M82" i="1"/>
  <c r="N82" i="1"/>
  <c r="O82" i="1"/>
  <c r="P82" i="1"/>
  <c r="Q82" i="1"/>
  <c r="I82" i="1"/>
  <c r="J82" i="1"/>
  <c r="I69" i="1"/>
  <c r="I55" i="1"/>
  <c r="I38" i="1"/>
  <c r="J38" i="1"/>
  <c r="R82" i="1" l="1"/>
  <c r="I84" i="1"/>
  <c r="L69" i="1" l="1"/>
  <c r="M69" i="1"/>
  <c r="N69" i="1"/>
  <c r="O69" i="1"/>
  <c r="P69" i="1"/>
  <c r="Q69" i="1"/>
  <c r="M55" i="1"/>
  <c r="N55" i="1"/>
  <c r="O55" i="1"/>
  <c r="P55" i="1"/>
  <c r="Q55" i="1"/>
  <c r="L55" i="1"/>
  <c r="L38" i="1"/>
  <c r="M38" i="1"/>
  <c r="N38" i="1"/>
  <c r="O38" i="1"/>
  <c r="P38" i="1"/>
  <c r="Q38" i="1"/>
  <c r="M20" i="1"/>
  <c r="N20" i="1"/>
  <c r="O20" i="1"/>
  <c r="P20" i="1"/>
  <c r="Q20" i="1"/>
  <c r="L20" i="1"/>
  <c r="J55" i="1"/>
  <c r="J20" i="1"/>
  <c r="J84" i="1" l="1"/>
  <c r="Q84" i="1"/>
  <c r="O84" i="1"/>
  <c r="N84" i="1"/>
  <c r="M84" i="1"/>
  <c r="P84" i="1"/>
  <c r="L84" i="1"/>
  <c r="R55" i="1"/>
  <c r="R38" i="1"/>
  <c r="R69" i="1"/>
  <c r="J66" i="14"/>
  <c r="J113" i="14" s="1"/>
  <c r="J115" i="14" s="1"/>
  <c r="N66" i="14"/>
  <c r="N113" i="14" s="1"/>
  <c r="N11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tc={338874F8-7600-47CB-B4B2-E067F1CA40B1}</author>
    <author>tc={A0476C0D-9692-42AB-AFB6-F1E6F7F2C29E}</author>
    <author>tc={4B4883C9-2957-4112-8A43-4935C61FDD19}</author>
    <author>tc={5FD710DC-4D98-4826-A0B9-37EB9B4C95E4}</author>
    <author>tc={8D1D1B55-B3DE-46F5-8869-A9594BB587E4}</author>
    <author>tc={5278D31E-EFBA-4182-BE88-B80D6D89DF9D}</author>
    <author>tc={7BF109D4-FF7E-43E3-B5DE-0B13FC475A93}</author>
    <author>tc={22C2765F-F0D2-434B-BD7D-A7C033FD7EC8}</author>
    <author>tc={0376AD82-28DD-4C71-8496-DA0D514428C5}</author>
    <author>tc={C7A815E7-6AA9-46C1-BB47-88B04A9636CE}</author>
    <author>tc={BF047D93-D8BE-409C-9E90-3ADC541ABB82}</author>
    <author>tc={F0A7BB89-313A-4692-A87B-924039359AB5}</author>
    <author>tc={750C5B23-D271-4048-A5DE-4785CC7B65BF}</author>
    <author>tc={05D21CA9-0E21-4899-BE1C-9977B7B0BBAF}</author>
    <author>tc={756D21BA-A8EE-4A6C-8795-24544252D56D}</author>
    <author>tc={DDC81AC2-C3F0-4F83-8E74-E81D7CEB5C0F}</author>
    <author>tc={73CBB96C-6E83-4409-A9BB-3B6A74D5ADD8}</author>
    <author>tc={5F13CD0E-CB29-4320-88BC-644CB69DCAAE}</author>
    <author>tc={DC3E1B46-2ED0-4AA7-83BA-229BA00C2C8D}</author>
    <author>tc={2556EC2F-A1E8-4915-9280-7A555E73A9B0}</author>
    <author>tc={D15AF293-5E27-4AEC-B864-F21B0D36BC31}</author>
    <author>tc={3ACE9E7D-31E5-42DA-9227-9DE6E8480883}</author>
    <author>tc={A50E4AC3-79DB-44BC-81DB-55AFDF9D8E82}</author>
    <author>tc={7946C8D0-0681-4FDC-90F7-0DD15C26992D}</author>
    <author>tc={BE3E527E-71AC-4A68-8F78-4ED12A75BAAC}</author>
    <author>tc={25349D6B-FA37-49B7-A931-816F8AC1028E}</author>
    <author>tc={E455C10E-A899-42CE-AB12-5C2D128DB36D}</author>
    <author>tc={528BC204-0010-4877-9110-DF14C971C90D}</author>
  </authors>
  <commentList>
    <comment ref="I3" authorId="0" shapeId="0" xr:uid="{338874F8-7600-47CB-B4B2-E067F1CA40B1}">
      <text>
        <t>[Threaded comment]
Your version of Excel allows you to read this threaded comment; however, any edits to it will get removed if the file is opened in a newer version of Excel. Learn more: https://go.microsoft.com/fwlink/?linkid=870924
Comment:
    Is this supposed to be cost-share? It is in the TAIP payment schedule for these two deliverables.</t>
      </text>
    </comment>
    <comment ref="J5" authorId="1" shapeId="0" xr:uid="{A0476C0D-9692-42AB-AFB6-F1E6F7F2C29E}">
      <text>
        <t>[Threaded comment]
Your version of Excel allows you to read this threaded comment; however, any edits to it will get removed if the file is opened in a newer version of Excel. Learn more: https://go.microsoft.com/fwlink/?linkid=870924
Comment:
    MP 2 for Activity 1 is supposed to be $128,000</t>
      </text>
    </comment>
    <comment ref="K5" authorId="2" shapeId="0" xr:uid="{4B4883C9-2957-4112-8A43-4935C61FDD19}">
      <text>
        <t>[Threaded comment]
Your version of Excel allows you to read this threaded comment; however, any edits to it will get removed if the file is opened in a newer version of Excel. Learn more: https://go.microsoft.com/fwlink/?linkid=870924
Comment:
    It seems like all of these deliverables were submitted for MP 1?  But the names of the deliverables don’t completely align.</t>
      </text>
    </comment>
    <comment ref="D12" authorId="3" shapeId="0" xr:uid="{5FD710DC-4D98-4826-A0B9-37EB9B4C95E4}">
      <text>
        <t>[Threaded comment]
Your version of Excel allows you to read this threaded comment; however, any edits to it will get removed if the file is opened in a newer version of Excel. Learn more: https://go.microsoft.com/fwlink/?linkid=870924
Comment:
    Paramedic training? $140K per year</t>
      </text>
    </comment>
    <comment ref="J22" authorId="4" shapeId="0" xr:uid="{8D1D1B55-B3DE-46F5-8869-A9594BB587E4}">
      <text>
        <t>[Threaded comment]
Your version of Excel allows you to read this threaded comment; however, any edits to it will get removed if the file is opened in a newer version of Excel. Learn more: https://go.microsoft.com/fwlink/?linkid=870924
Comment:
    This doesn’t align with the MP 2 amount in the TAIP (which is for $40K for 2.2.2 and 2.2.3 only)</t>
      </text>
    </comment>
    <comment ref="J23" authorId="5" shapeId="0" xr:uid="{5278D31E-EFBA-4182-BE88-B80D6D89DF9D}">
      <text>
        <t>[Threaded comment]
Your version of Excel allows you to read this threaded comment; however, any edits to it will get removed if the file is opened in a newer version of Excel. Learn more: https://go.microsoft.com/fwlink/?linkid=870924
Comment:
    Look into increasing this amount to $100K</t>
      </text>
    </comment>
    <comment ref="J24" authorId="6" shapeId="0" xr:uid="{7BF109D4-FF7E-43E3-B5DE-0B13FC475A93}">
      <text>
        <t>[Threaded comment]
Your version of Excel allows you to read this threaded comment; however, any edits to it will get removed if the file is opened in a newer version of Excel. Learn more: https://go.microsoft.com/fwlink/?linkid=870924
Comment:
    Needs $80K
Reply:
    Gerrit says it should be $40K</t>
      </text>
    </comment>
    <comment ref="H29" authorId="7" shapeId="0" xr:uid="{22C2765F-F0D2-434B-BD7D-A7C033FD7EC8}">
      <text>
        <t>[Threaded comment]
Your version of Excel allows you to read this threaded comment; however, any edits to it will get removed if the file is opened in a newer version of Excel. Learn more: https://go.microsoft.com/fwlink/?linkid=870924
Comment:
    This does not appear in the TAIP - is it part of deliverable 2.8.1?</t>
      </text>
    </comment>
    <comment ref="D30" authorId="8" shapeId="0" xr:uid="{0376AD82-28DD-4C71-8496-DA0D514428C5}">
      <text>
        <t>[Threaded comment]
Your version of Excel allows you to read this threaded comment; however, any edits to it will get removed if the file is opened in a newer version of Excel. Learn more: https://go.microsoft.com/fwlink/?linkid=870924
Comment:
    Should be moved to TA1</t>
      </text>
    </comment>
    <comment ref="J31" authorId="9" shapeId="0" xr:uid="{C7A815E7-6AA9-46C1-BB47-88B04A9636CE}">
      <text>
        <t>[Threaded comment]
Your version of Excel allows you to read this threaded comment; however, any edits to it will get removed if the file is opened in a newer version of Excel. Learn more: https://go.microsoft.com/fwlink/?linkid=870924
Comment:
    This is only $30K in the TAIP.
Reply:
    Needs $65K
Reply:
    Gerrit says it should be $75K</t>
      </text>
    </comment>
    <comment ref="I34" authorId="10" shapeId="0" xr:uid="{BF047D93-D8BE-409C-9E90-3ADC541ABB82}">
      <text>
        <t>[Threaded comment]
Your version of Excel allows you to read this threaded comment; however, any edits to it will get removed if the file is opened in a newer version of Excel. Learn more: https://go.microsoft.com/fwlink/?linkid=870924
Comment:
    Should go under Activity 1</t>
      </text>
    </comment>
    <comment ref="C35" authorId="11" shapeId="0" xr:uid="{F0A7BB89-313A-4692-A87B-924039359AB5}">
      <text>
        <t>[Threaded comment]
Your version of Excel allows you to read this threaded comment; however, any edits to it will get removed if the file is opened in a newer version of Excel. Learn more: https://go.microsoft.com/fwlink/?linkid=870924
Comment:
    Should this still be included?</t>
      </text>
    </comment>
    <comment ref="I35" authorId="12" shapeId="0" xr:uid="{750C5B23-D271-4048-A5DE-4785CC7B65BF}">
      <text>
        <t>[Threaded comment]
Your version of Excel allows you to read this threaded comment; however, any edits to it will get removed if the file is opened in a newer version of Excel. Learn more: https://go.microsoft.com/fwlink/?linkid=870924
Comment:
    Should be $80K</t>
      </text>
    </comment>
    <comment ref="I36" authorId="13" shapeId="0" xr:uid="{05D21CA9-0E21-4899-BE1C-9977B7B0BBAF}">
      <text>
        <t>[Threaded comment]
Your version of Excel allows you to read this threaded comment; however, any edits to it will get removed if the file is opened in a newer version of Excel. Learn more: https://go.microsoft.com/fwlink/?linkid=870924
Comment:
    Could be increased</t>
      </text>
    </comment>
    <comment ref="B39" authorId="14" shapeId="0" xr:uid="{756D21BA-A8EE-4A6C-8795-24544252D56D}">
      <text>
        <t>[Threaded comment]
Your version of Excel allows you to read this threaded comment; however, any edits to it will get removed if the file is opened in a newer version of Excel. Learn more: https://go.microsoft.com/fwlink/?linkid=870924
Comment:
    Consider adding a local market assessment (for identifying local procurement opportunities)</t>
      </text>
    </comment>
    <comment ref="J39" authorId="15" shapeId="0" xr:uid="{DDC81AC2-C3F0-4F83-8E74-E81D7CEB5C0F}">
      <text>
        <t>[Threaded comment]
Your version of Excel allows you to read this threaded comment; however, any edits to it will get removed if the file is opened in a newer version of Excel. Learn more: https://go.microsoft.com/fwlink/?linkid=870924
Comment:
    Does not match the TAIP which has these two deliverables at $160K</t>
      </text>
    </comment>
    <comment ref="C40" authorId="16" shapeId="0" xr:uid="{73CBB96C-6E83-4409-A9BB-3B6A74D5ADD8}">
      <text>
        <t>[Threaded comment]
Your version of Excel allows you to read this threaded comment; however, any edits to it will get removed if the file is opened in a newer version of Excel. Learn more: https://go.microsoft.com/fwlink/?linkid=870924
Comment:
    The deliverable “Detailed SOW, R&amp;R and Programme for the IDPs”, which is included in MP 2 in the TAIP, is missing from this Budget.</t>
      </text>
    </comment>
    <comment ref="H43" authorId="17" shapeId="0" xr:uid="{5F13CD0E-CB29-4320-88BC-644CB69DCAAE}">
      <text>
        <t>[Threaded comment]
Your version of Excel allows you to read this threaded comment; however, any edits to it will get removed if the file is opened in a newer version of Excel. Learn more: https://go.microsoft.com/fwlink/?linkid=870924
Comment:
    Can 3.5 and 3.6 be merged? Aren’t they the same thing?</t>
      </text>
    </comment>
    <comment ref="J46" authorId="18" shapeId="0" xr:uid="{DC3E1B46-2ED0-4AA7-83BA-229BA00C2C8D}">
      <text>
        <t>[Threaded comment]
Your version of Excel allows you to read this threaded comment; however, any edits to it will get removed if the file is opened in a newer version of Excel. Learn more: https://go.microsoft.com/fwlink/?linkid=870924
Comment:
    MP 5 &amp; 6 should add up to $430K per the TAIP, but here it’s $440K</t>
      </text>
    </comment>
    <comment ref="D56" authorId="19" shapeId="0" xr:uid="{2556EC2F-A1E8-4915-9280-7A555E73A9B0}">
      <text>
        <t>[Threaded comment]
Your version of Excel allows you to read this threaded comment; however, any edits to it will get removed if the file is opened in a newer version of Excel. Learn more: https://go.microsoft.com/fwlink/?linkid=870924
Comment:
    This would include input from Koos (tailings) and Greg (mineral processing), as well as GroundTruth (river health) and Andrea Baker (SLR - Geochemistry)</t>
      </text>
    </comment>
    <comment ref="G57" authorId="20" shapeId="0" xr:uid="{D15AF293-5E27-4AEC-B864-F21B0D36BC31}">
      <text>
        <t>[Threaded comment]
Your version of Excel allows you to read this threaded comment; however, any edits to it will get removed if the file is opened in a newer version of Excel. Learn more: https://go.microsoft.com/fwlink/?linkid=870924
Comment:
    Might have SLR support this</t>
      </text>
    </comment>
    <comment ref="K61" authorId="21" shapeId="0" xr:uid="{3ACE9E7D-31E5-42DA-9227-9DE6E8480883}">
      <text>
        <t>[Threaded comment]
Your version of Excel allows you to read this threaded comment; however, any edits to it will get removed if the file is opened in a newer version of Excel. Learn more: https://go.microsoft.com/fwlink/?linkid=870924
Comment:
    Not in TAIP milestone payment schedule</t>
      </text>
    </comment>
    <comment ref="J62" authorId="22" shapeId="0" xr:uid="{A50E4AC3-79DB-44BC-81DB-55AFDF9D8E82}">
      <text>
        <t>[Threaded comment]
Your version of Excel allows you to read this threaded comment; however, any edits to it will get removed if the file is opened in a newer version of Excel. Learn more: https://go.microsoft.com/fwlink/?linkid=870924
Comment:
    The total payment for MP 5 for these two deliverables is only $300K per the TAIP</t>
      </text>
    </comment>
    <comment ref="H64" authorId="23" shapeId="0" xr:uid="{7946C8D0-0681-4FDC-90F7-0DD15C26992D}">
      <text>
        <t>[Threaded comment]
Your version of Excel allows you to read this threaded comment; however, any edits to it will get removed if the file is opened in a newer version of Excel. Learn more: https://go.microsoft.com/fwlink/?linkid=870924
Comment:
    This is a deliverable in the TAIP, but wasn’t included here in this Budget.</t>
      </text>
    </comment>
    <comment ref="J70" authorId="24" shapeId="0" xr:uid="{BE3E527E-71AC-4A68-8F78-4ED12A75BAAC}">
      <text>
        <t>[Threaded comment]
Your version of Excel allows you to read this threaded comment; however, any edits to it will get removed if the file is opened in a newer version of Excel. Learn more: https://go.microsoft.com/fwlink/?linkid=870924
Comment:
    The TAIP MP schedule has 5.1. and 5.2’s payment for $260K (not $175K)</t>
      </text>
    </comment>
    <comment ref="J72" authorId="25" shapeId="0" xr:uid="{25349D6B-FA37-49B7-A931-816F8AC1028E}">
      <text>
        <t>[Threaded comment]
Your version of Excel allows you to read this threaded comment; however, any edits to it will get removed if the file is opened in a newer version of Excel. Learn more: https://go.microsoft.com/fwlink/?linkid=870924
Comment:
    The total for MP 2 &amp; 3 is$215K in the TAIP</t>
      </text>
    </comment>
    <comment ref="K72" authorId="26" shapeId="0" xr:uid="{E455C10E-A899-42CE-AB12-5C2D128DB36D}">
      <text>
        <t>[Threaded comment]
Your version of Excel allows you to read this threaded comment; however, any edits to it will get removed if the file is opened in a newer version of Excel. Learn more: https://go.microsoft.com/fwlink/?linkid=870924
Comment:
    This should all go into MP 2</t>
      </text>
    </comment>
    <comment ref="H74" authorId="27" shapeId="0" xr:uid="{528BC204-0010-4877-9110-DF14C971C90D}">
      <text>
        <t>[Threaded comment]
Your version of Excel allows you to read this threaded comment; however, any edits to it will get removed if the file is opened in a newer version of Excel. Learn more: https://go.microsoft.com/fwlink/?linkid=870924
Comment:
    “Additional Baseline Studies as defined by Gap Analysis” is the deliverable in the TAIP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tc={0C2B5D8C-B215-47C1-8DEC-69CEDDBF2A03}</author>
    <author>tc={2174C72F-8AB7-4604-9E14-A277BAD0DED0}</author>
    <author>tc={CDC6EE79-C7C6-4F9E-8AFD-68906F5DFD38}</author>
    <author>tc={16525008-63BC-4A5F-A728-3CB8AE14CF0B}</author>
    <author>tc={21FECEF3-423C-4A31-BB57-D5E3DB1E91A7}</author>
    <author>tc={1FC41CFC-3A1B-4F0C-9D67-4E9B262DEC11}</author>
    <author>tc={F7ED7DC5-704A-4229-A2BD-AE751B44FB09}</author>
    <author>tc={DD4B8859-4C0F-4607-BB85-4F60E0FEA0F9}</author>
    <author>tc={07A7E517-0D6C-4E1A-8C5C-ED07AB645A06}</author>
    <author>tc={588A372B-D6D2-4A23-B08B-1A140C52F7C4}</author>
    <author>tc={3C2CC2E9-C755-490D-8E68-FADD5FDAD503}</author>
  </authors>
  <commentList>
    <comment ref="D13" authorId="0" shapeId="0" xr:uid="{0C2B5D8C-B215-47C1-8DEC-69CEDDBF2A03}">
      <text>
        <t>[Threaded comment]
Your version of Excel allows you to read this threaded comment; however, any edits to it will get removed if the file is opened in a newer version of Excel. Learn more: https://go.microsoft.com/fwlink/?linkid=870924
Comment:
    28% of both SML4 Change contracts</t>
      </text>
    </comment>
    <comment ref="K24" authorId="1" shapeId="0" xr:uid="{2174C72F-8AB7-4604-9E14-A277BAD0DED0}">
      <text>
        <t>[Threaded comment]
Your version of Excel allows you to read this threaded comment; however, any edits to it will get removed if the file is opened in a newer version of Excel. Learn more: https://go.microsoft.com/fwlink/?linkid=870924
Comment:
    Switched this from MOB to MP4</t>
      </text>
    </comment>
    <comment ref="P24" authorId="2" shapeId="0" xr:uid="{CDC6EE79-C7C6-4F9E-8AFD-68906F5DFD38}">
      <text>
        <t>[Threaded comment]
Your version of Excel allows you to read this threaded comment; however, any edits to it will get removed if the file is opened in a newer version of Excel. Learn more: https://go.microsoft.com/fwlink/?linkid=870924
Comment:
    Push to 2026</t>
      </text>
    </comment>
    <comment ref="I34" authorId="3" shapeId="0" xr:uid="{16525008-63BC-4A5F-A728-3CB8AE14CF0B}">
      <text>
        <t>[Threaded comment]
Your version of Excel allows you to read this threaded comment; however, any edits to it will get removed if the file is opened in a newer version of Excel. Learn more: https://go.microsoft.com/fwlink/?linkid=870924
Comment:
    Estimate based on budget</t>
      </text>
    </comment>
    <comment ref="L40" authorId="4" shapeId="0" xr:uid="{21FECEF3-423C-4A31-BB57-D5E3DB1E91A7}">
      <text>
        <t>[Threaded comment]
Your version of Excel allows you to read this threaded comment; however, any edits to it will get removed if the file is opened in a newer version of Excel. Learn more: https://go.microsoft.com/fwlink/?linkid=870924
Comment:
    Remainder of Jo’s invoices /2</t>
      </text>
    </comment>
    <comment ref="I58" authorId="5" shapeId="0" xr:uid="{1FC41CFC-3A1B-4F0C-9D67-4E9B262DEC11}">
      <text>
        <t>[Threaded comment]
Your version of Excel allows you to read this threaded comment; however, any edits to it will get removed if the file is opened in a newer version of Excel. Learn more: https://go.microsoft.com/fwlink/?linkid=870924
Comment:
    1/2 of 28% of 22 months as per contract</t>
      </text>
    </comment>
    <comment ref="G72" authorId="6" shapeId="0" xr:uid="{F7ED7DC5-704A-4229-A2BD-AE751B44FB09}">
      <text>
        <t>[Threaded comment]
Your version of Excel allows you to read this threaded comment; however, any edits to it will get removed if the file is opened in a newer version of Excel. Learn more: https://go.microsoft.com/fwlink/?linkid=870924
Comment:
    Might have SLR support this</t>
      </text>
    </comment>
    <comment ref="J97" authorId="7" shapeId="0" xr:uid="{DD4B8859-4C0F-4607-BB85-4F60E0FEA0F9}">
      <text>
        <t>[Threaded comment]
Your version of Excel allows you to read this threaded comment; however, any edits to it will get removed if the file is opened in a newer version of Excel. Learn more: https://go.microsoft.com/fwlink/?linkid=870924
Comment:
    These should reflect actual costs so we can add the difference between the MPs to the Mobilization payment (not cost share - except for what was already reported as cost-share in MP1)</t>
      </text>
    </comment>
    <comment ref="L97" authorId="8" shapeId="0" xr:uid="{07A7E517-0D6C-4E1A-8C5C-ED07AB645A06}">
      <text>
        <t>[Threaded comment]
Your version of Excel allows you to read this threaded comment; however, any edits to it will get removed if the file is opened in a newer version of Excel. Learn more: https://go.microsoft.com/fwlink/?linkid=870924
Comment:
    Variation Order + remainder of SLR invoices to date</t>
      </text>
    </comment>
    <comment ref="C107" authorId="9" shapeId="0" xr:uid="{588A372B-D6D2-4A23-B08B-1A140C52F7C4}">
      <text>
        <t>[Threaded comment]
Your version of Excel allows you to read this threaded comment; however, any edits to it will get removed if the file is opened in a newer version of Excel. Learn more: https://go.microsoft.com/fwlink/?linkid=870924
Comment:
    Where is this budgeted for?
Reply:
    There is budget in the mines OPs budget</t>
      </text>
    </comment>
    <comment ref="L115" authorId="10" shapeId="0" xr:uid="{3C2CC2E9-C755-490D-8E68-FADD5FDAD503}">
      <text>
        <t>[Threaded comment]
Your version of Excel allows you to read this threaded comment; however, any edits to it will get removed if the file is opened in a newer version of Excel. Learn more: https://go.microsoft.com/fwlink/?linkid=870924
Comment:
    Will need to reduce an activity’s MOB by this amount...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tc={9646D0A1-97EE-4030-BA8B-13F084F6E39C}</author>
    <author>tc={B57184B1-56A9-4A43-882C-B798749237E4}</author>
    <author>tc={11173CB5-D6E7-4214-9E6C-56EBEF1F53A7}</author>
    <author>tc={D0DC7221-CB86-41A9-8D5F-0A5B0A5A335F}</author>
    <author>tc={91563B22-8026-4265-99A6-71AD346BA701}</author>
    <author>tc={25B37A38-E6D5-45E0-822A-163352A96329}</author>
    <author>tc={3F87A551-3AF5-415D-9B59-71928B67212D}</author>
    <author>tc={F28C11A7-9055-4A33-BE8F-8BC248B2108C}</author>
    <author>tc={3926C997-B01F-424C-8367-00860BC12448}</author>
    <author>tc={71E81CFB-97E9-4E50-9DF5-1D129A8A3EC7}</author>
    <author>tc={003F4C0A-659D-438D-8AF3-061A85F8E0EA}</author>
    <author>tc={DB9C7932-963B-4385-9770-A894C20A40D4}</author>
    <author>tc={2CF9E512-C382-420F-A41C-2052A3BA8E20}</author>
    <author>tc={F7CEC437-6703-4773-A2C9-453A8BB72FF0}</author>
    <author>tc={CF77CE8A-3868-4D3E-9DA1-D9233AAB0170}</author>
    <author>tc={2477ABDD-2920-4305-B6B6-4D90CDA8E587}</author>
    <author>tc={15878673-6EB5-4E33-BB9A-6747782357D4}</author>
    <author>tc={9F84C4D5-E5F5-4A63-8A66-B5CF407451B9}</author>
    <author>tc={DAF56F0A-DB37-4273-B08E-85072271A4F2}</author>
    <author>tc={D2F1E2B9-A663-4E81-AF88-D4E8518A2CE7}</author>
    <author>tc={47A12A65-50D6-466D-B202-55F49C69B337}</author>
    <author>tc={E95890BE-9980-40E2-9DC5-5B7594065C53}</author>
    <author>tc={A496BD7A-B88B-4249-8811-32FEBB3EF00E}</author>
    <author>tc={ED5C9B92-9C08-466C-9D22-1C80F83B56D9}</author>
    <author>tc={7F0D8497-D8CF-42D7-8E95-5B5DFD7CAF36}</author>
    <author>tc={C40959F3-9B14-4A10-AB70-FC4B8F636A75}</author>
    <author>tc={F8CD6AFD-F5BE-44FE-947C-B3971D326FB5}</author>
    <author>tc={D4E01D03-BF7B-4889-8CC2-53F80761C017}</author>
    <author>tc={C7D44108-72E5-4816-9618-70B4415C5AB6}</author>
    <author>tc={B134584C-B3C5-4FA8-BD92-FF7E743D1F0F}</author>
    <author>tc={219FDB18-D3CA-4BBF-84FB-156A32016568}</author>
    <author>tc={200E3791-494B-4AF8-9621-EF7C5C1D46C7}</author>
    <author>tc={984F8BE3-5762-4A11-80BC-46366794606E}</author>
    <author>tc={85CF1E70-A1D0-4B76-98C6-F16DB24CEE93}</author>
    <author>tc={5BCCF993-C15F-40AA-B739-5A9B95A47ABB}</author>
    <author>tc={0B2ADF72-AF63-4A5C-AAE2-05043786DC41}</author>
    <author>tc={01C345D0-B115-45E2-A388-3DA814B5B921}</author>
    <author>tc={EF8CCCAB-B82E-4AFF-914E-F0AEFE768E09}</author>
    <author>tc={FE2D4A20-EC58-4913-AC42-BCC5E00B66BC}</author>
    <author>tc={4EB42AF8-1BE9-4C06-AB3A-7470F354A45D}</author>
    <author>tc={FA363402-92C8-430F-9FFA-1258EDD65744}</author>
    <author>tc={FEC110C1-D9F0-4297-8E61-359B24982EC9}</author>
    <author>tc={14AFA973-635E-4449-9706-296742CB442A}</author>
    <author>tc={3E46B361-A9D7-4793-A113-77AB0D1983DF}</author>
    <author>tc={85FB167A-9BB5-498E-9411-51AB5CA2CA93}</author>
    <author>tc={D67A87CE-21BF-4549-BAF2-671AE91257B1}</author>
    <author>tc={E781902B-0BCE-4562-9537-FB6573E5E80B}</author>
    <author>tc={568FB90C-9DFA-47B1-B217-413C1CDD61B5}</author>
    <author>tc={4B4602DF-8946-4CEF-A018-C14F22C7B39F}</author>
    <author>tc={C78E3A55-F2B5-4413-824D-77207E2260FA}</author>
    <author>tc={931CB780-13D8-42C1-94A9-993310C36CE1}</author>
    <author>tc={FFB74322-58F1-42DF-98BB-B19E85E57932}</author>
    <author>tc={79410EA9-F566-4132-8564-2251BC092696}</author>
    <author>tc={3153C0D8-918B-417D-BE06-75FB6030CE74}</author>
    <author>tc={F21C7C8A-5232-468A-8832-D8C45E4D180E}</author>
    <author>tc={CCF20096-EEEF-4BDA-A916-285103634D1C}</author>
    <author>tc={FAA13722-C1B2-404E-89FF-3C14DFAED7E6}</author>
    <author>tc={06759E84-F806-4658-9642-765FEC409B57}</author>
    <author>tc={2C040BFE-318A-497F-AB8D-7D2D5BDB77F8}</author>
    <author>tc={F1E088F5-2D06-4DD2-A399-17A1A64DECF0}</author>
    <author>tc={C20D23EE-3E05-49D1-95BA-D8E9397188C5}</author>
    <author>tc={E1F1D20A-4BBC-4029-B6FE-4FFA529D3438}</author>
    <author>tc={0768B794-7E75-4B0D-BE28-6F9FD387665F}</author>
    <author>tc={366659EC-5DFD-47A1-A6CB-233C5C257C20}</author>
    <author>tc={E3320694-80D2-4CCE-B323-B1A52F617C0B}</author>
    <author>tc={C748A016-ED1A-4581-8EBB-CF5285EEBE4E}</author>
    <author>tc={1C5F2835-150B-4C24-B96C-00AC9DF48609}</author>
    <author>tc={2BF64B06-016E-4741-BEA5-82DB0AFF9D95}</author>
    <author>tc={5B22AD31-539C-45EE-B592-5BA8D9F055DB}</author>
    <author>tc={C7D25DF2-43CA-4BC1-8519-1727D07918C8}</author>
    <author>tc={F6CA1A11-2348-4B49-82D5-B062F440F23C}</author>
    <author>tc={8BA08C9B-173C-4072-8475-3B81635FA8A2}</author>
    <author>tc={BA8E7979-B7B5-43AA-AE42-2D47D9F45164}</author>
  </authors>
  <commentList>
    <comment ref="J5" authorId="0" shapeId="0" xr:uid="{9646D0A1-97EE-4030-BA8B-13F084F6E39C}">
      <text>
        <t>[Threaded comment]
Your version of Excel allows you to read this threaded comment; however, any edits to it will get removed if the file is opened in a newer version of Excel. Learn more: https://go.microsoft.com/fwlink/?linkid=870924
Comment:
    Some of this could possibly go into the DFC TA budget if the TA1 budget is increased. However, some of the invoices that were claimed as cost share are a bit old (Q4 2023, Q1 2024) and I’m not sure they would agree to that...</t>
      </text>
    </comment>
    <comment ref="J6" authorId="1" shapeId="0" xr:uid="{B57184B1-56A9-4A43-882C-B798749237E4}">
      <text>
        <t>[Threaded comment]
Your version of Excel allows you to read this threaded comment; however, any edits to it will get removed if the file is opened in a newer version of Excel. Learn more: https://go.microsoft.com/fwlink/?linkid=870924
Comment:
    This could potentially go into the DFC TA budget, if the TA1 budget is increased...</t>
      </text>
    </comment>
    <comment ref="V7" authorId="2" shapeId="0" xr:uid="{11173CB5-D6E7-4214-9E6C-56EBEF1F53A7}">
      <text>
        <t>[Threaded comment]
Your version of Excel allows you to read this threaded comment; however, any edits to it will get removed if the file is opened in a newer version of Excel. Learn more: https://go.microsoft.com/fwlink/?linkid=870924
Comment:
    Will need to reconcile this in next MP3 request</t>
      </text>
    </comment>
    <comment ref="K8" authorId="3" shapeId="0" xr:uid="{D0DC7221-CB86-41A9-8D5F-0A5B0A5A335F}">
      <text>
        <t>[Threaded comment]
Your version of Excel allows you to read this threaded comment; however, any edits to it will get removed if the file is opened in a newer version of Excel. Learn more: https://go.microsoft.com/fwlink/?linkid=870924
Comment:
    Per cash forecast</t>
      </text>
    </comment>
    <comment ref="Q8" authorId="4" shapeId="0" xr:uid="{91563B22-8026-4265-99A6-71AD346BA701}">
      <text>
        <t>[Threaded comment]
Your version of Excel allows you to read this threaded comment; however, any edits to it will get removed if the file is opened in a newer version of Excel. Learn more: https://go.microsoft.com/fwlink/?linkid=870924
Comment:
    Estimated SML invoice for Q3 2025
(to be paid in Oct 2025)</t>
      </text>
    </comment>
    <comment ref="K9" authorId="5" shapeId="0" xr:uid="{25B37A38-E6D5-45E0-822A-163352A96329}">
      <text>
        <t>[Threaded comment]
Your version of Excel allows you to read this threaded comment; however, any edits to it will get removed if the file is opened in a newer version of Excel. Learn more: https://go.microsoft.com/fwlink/?linkid=870924
Comment:
    Estimated SML Q4 2025 invoice if LOE is not reduced</t>
      </text>
    </comment>
    <comment ref="R9" authorId="6" shapeId="0" xr:uid="{3F87A551-3AF5-415D-9B59-71928B67212D}">
      <text>
        <t>[Threaded comment]
Your version of Excel allows you to read this threaded comment; however, any edits to it will get removed if the file is opened in a newer version of Excel. Learn more: https://go.microsoft.com/fwlink/?linkid=870924
Comment:
    Estimated SML invoice for Q4 2025</t>
      </text>
    </comment>
    <comment ref="K10" authorId="7" shapeId="0" xr:uid="{F28C11A7-9055-4A33-BE8F-8BC248B2108C}">
      <text>
        <t>[Threaded comment]
Your version of Excel allows you to read this threaded comment; however, any edits to it will get removed if the file is opened in a newer version of Excel. Learn more: https://go.microsoft.com/fwlink/?linkid=870924
Comment:
    We will still have one more quarter to cover from SML’s contract, the invoice for which would be submitted in the MP5 request. Does this amount and deliverable match up?</t>
      </text>
    </comment>
    <comment ref="R10" authorId="8" shapeId="0" xr:uid="{3926C997-B01F-424C-8367-00860BC12448}">
      <text>
        <t>[Threaded comment]
Your version of Excel allows you to read this threaded comment; however, any edits to it will get removed if the file is opened in a newer version of Excel. Learn more: https://go.microsoft.com/fwlink/?linkid=870924
Comment:
    Possible that this will be pushed to MP5</t>
      </text>
    </comment>
    <comment ref="C11" authorId="9" shapeId="0" xr:uid="{71E81CFB-97E9-4E50-9DF5-1D129A8A3EC7}">
      <text>
        <t>[Threaded comment]
Your version of Excel allows you to read this threaded comment; however, any edits to it will get removed if the file is opened in a newer version of Excel. Learn more: https://go.microsoft.com/fwlink/?linkid=870924
Comment:
    Are there internal training staff?
Reply:
    To discuss with David</t>
      </text>
    </comment>
    <comment ref="J11" authorId="10" shapeId="0" xr:uid="{003F4C0A-659D-438D-8AF3-061A85F8E0EA}">
      <text>
        <t>[Threaded comment]
Your version of Excel allows you to read this threaded comment; however, any edits to it will get removed if the file is opened in a newer version of Excel. Learn more: https://go.microsoft.com/fwlink/?linkid=870924
Comment:
    Moved this amount to TA2 instead.</t>
      </text>
    </comment>
    <comment ref="D12" authorId="11" shapeId="0" xr:uid="{DB9C7932-963B-4385-9770-A894C20A40D4}">
      <text>
        <t>[Threaded comment]
Your version of Excel allows you to read this threaded comment; however, any edits to it will get removed if the file is opened in a newer version of Excel. Learn more: https://go.microsoft.com/fwlink/?linkid=870924
Comment:
    28% of both SML4 Change contracts</t>
      </text>
    </comment>
    <comment ref="V23" authorId="12" shapeId="0" xr:uid="{2CF9E512-C382-420F-A41C-2052A3BA8E20}">
      <text>
        <t>[Threaded comment]
Your version of Excel allows you to read this threaded comment; however, any edits to it will get removed if the file is opened in a newer version of Excel. Learn more: https://go.microsoft.com/fwlink/?linkid=870924
Comment:
    Will need to reconcile this in next MP3 request</t>
      </text>
    </comment>
    <comment ref="J24" authorId="13" shapeId="0" xr:uid="{F7CEC437-6703-4773-A2C9-453A8BB72FF0}">
      <text>
        <t>[Threaded comment]
Your version of Excel allows you to read this threaded comment; however, any edits to it will get removed if the file is opened in a newer version of Excel. Learn more: https://go.microsoft.com/fwlink/?linkid=870924
Comment:
    What is this cost share from? We’ve claimed all of OHMS invoices…</t>
      </text>
    </comment>
    <comment ref="P25" authorId="14" shapeId="0" xr:uid="{CF77CE8A-3868-4D3E-9DA1-D9233AAB0170}">
      <text>
        <t>[Threaded comment]
Your version of Excel allows you to read this threaded comment; however, any edits to it will get removed if the file is opened in a newer version of Excel. Learn more: https://go.microsoft.com/fwlink/?linkid=870924
Comment:
    This was originally budgetd at 25K, but OHMS invoice submitted with MP2Add was only $7865</t>
      </text>
    </comment>
    <comment ref="L26" authorId="15" shapeId="0" xr:uid="{2477ABDD-2920-4305-B6B6-4D90CDA8E587}">
      <text>
        <t>[Threaded comment]
Your version of Excel allows you to read this threaded comment; however, any edits to it will get removed if the file is opened in a newer version of Excel. Learn more: https://go.microsoft.com/fwlink/?linkid=870924
Comment:
    Switched this from MOB to MP4</t>
      </text>
    </comment>
    <comment ref="R26" authorId="16" shapeId="0" xr:uid="{15878673-6EB5-4E33-BB9A-6747782357D4}">
      <text>
        <t xml:space="preserve">[Threaded comment]
Your version of Excel allows you to read this threaded comment; however, any edits to it will get removed if the file is opened in a newer version of Excel. Learn more: https://go.microsoft.com/fwlink/?linkid=870924
Comment:
    potential shift to MP 5 </t>
      </text>
    </comment>
    <comment ref="J27" authorId="17" shapeId="0" xr:uid="{9F84C4D5-E5F5-4A63-8A66-B5CF407451B9}">
      <text>
        <t>[Threaded comment]
Your version of Excel allows you to read this threaded comment; however, any edits to it will get removed if the file is opened in a newer version of Excel. Learn more: https://go.microsoft.com/fwlink/?linkid=870924
Comment:
    Will need to reconcile this in next cost share report.</t>
      </text>
    </comment>
    <comment ref="U27" authorId="18" shapeId="0" xr:uid="{DAF56F0A-DB37-4273-B08E-85072271A4F2}">
      <text>
        <t>[Threaded comment]
Your version of Excel allows you to read this threaded comment; however, any edits to it will get removed if the file is opened in a newer version of Excel. Learn more: https://go.microsoft.com/fwlink/?linkid=870924
Comment:
    Jo’s travel</t>
      </text>
    </comment>
    <comment ref="K31" authorId="19" shapeId="0" xr:uid="{D2F1E2B9-A663-4E81-AF88-D4E8518A2CE7}">
      <text>
        <t>[Threaded comment]
Your version of Excel allows you to read this threaded comment; however, any edits to it will get removed if the file is opened in a newer version of Excel. Learn more: https://go.microsoft.com/fwlink/?linkid=870924
Comment:
    Increase budget? We will have $33k in Jo’s invoices to cover by Oct 2025 (MP3)</t>
      </text>
    </comment>
    <comment ref="K32" authorId="20" shapeId="0" xr:uid="{47A12A65-50D6-466D-B202-55F49C69B337}">
      <text>
        <t>[Threaded comment]
Your version of Excel allows you to read this threaded comment; however, any edits to it will get removed if the file is opened in a newer version of Excel. Learn more: https://go.microsoft.com/fwlink/?linkid=870924
Comment:
    Increase budget?</t>
      </text>
    </comment>
    <comment ref="R32" authorId="21" shapeId="0" xr:uid="{E95890BE-9980-40E2-9DC5-5B7594065C53}">
      <text>
        <t>[Threaded comment]
Your version of Excel allows you to read this threaded comment; however, any edits to it will get removed if the file is opened in a newer version of Excel. Learn more: https://go.microsoft.com/fwlink/?linkid=870924
Comment:
    allocate JD invoices between Nov and Jan
Reply:
    need final copies of the final audit report</t>
      </text>
    </comment>
    <comment ref="L33" authorId="22" shapeId="0" xr:uid="{A496BD7A-B88B-4249-8811-32FEBB3EF00E}">
      <text>
        <t>[Threaded comment]
Your version of Excel allows you to read this threaded comment; however, any edits to it will get removed if the file is opened in a newer version of Excel. Learn more: https://go.microsoft.com/fwlink/?linkid=870924
Comment:
    Push to MP 6</t>
      </text>
    </comment>
    <comment ref="L34" authorId="23" shapeId="0" xr:uid="{ED5C9B92-9C08-466C-9D22-1C80F83B56D9}">
      <text>
        <t>[Threaded comment]
Your version of Excel allows you to read this threaded comment; however, any edits to it will get removed if the file is opened in a newer version of Excel. Learn more: https://go.microsoft.com/fwlink/?linkid=870924
Comment:
    Push to MP 6</t>
      </text>
    </comment>
    <comment ref="R34" authorId="24" shapeId="0" xr:uid="{7F0D8497-D8CF-42D7-8E95-5B5DFD7CAF36}">
      <text>
        <t xml:space="preserve">[Threaded comment]
Your version of Excel allows you to read this threaded comment; however, any edits to it will get removed if the file is opened in a newer version of Excel. Learn more: https://go.microsoft.com/fwlink/?linkid=870924
Comment:
    Check w/ GF on potential spend for BBC, internal or external? SML4 Change to shift to TA2 trainings or shift funds to TA 1
</t>
      </text>
    </comment>
    <comment ref="C35" authorId="25" shapeId="0" xr:uid="{C40959F3-9B14-4A10-AB70-FC4B8F636A75}">
      <text>
        <t>[Threaded comment]
Your version of Excel allows you to read this threaded comment; however, any edits to it will get removed if the file is opened in a newer version of Excel. Learn more: https://go.microsoft.com/fwlink/?linkid=870924
Comment:
    I think we should take out transportation costs from this, but could we justify all of Gerrit’s salary as in-kind? And what about all of the HSE staff? First responder salaries? Etc?</t>
      </text>
    </comment>
    <comment ref="H42" authorId="26" shapeId="0" xr:uid="{F8CD6AFD-F5BE-44FE-947C-B3971D326FB5}">
      <text>
        <t>[Threaded comment]
Your version of Excel allows you to read this threaded comment; however, any edits to it will get removed if the file is opened in a newer version of Excel. Learn more: https://go.microsoft.com/fwlink/?linkid=870924
Comment:
    check with GF if there is an updated budget or spend for this activity and medical surv. program</t>
      </text>
    </comment>
    <comment ref="U46" authorId="27" shapeId="0" xr:uid="{D4E01D03-BF7B-4889-8CC2-53F80761C017}">
      <text>
        <t>[Threaded comment]
Your version of Excel allows you to read this threaded comment; however, any edits to it will get removed if the file is opened in a newer version of Excel. Learn more: https://go.microsoft.com/fwlink/?linkid=870924
Comment:
    Tony’s travel</t>
      </text>
    </comment>
    <comment ref="Q47" authorId="28" shapeId="0" xr:uid="{C7D44108-72E5-4816-9618-70B4415C5AB6}">
      <text>
        <t>[Threaded comment]
Your version of Excel allows you to read this threaded comment; however, any edits to it will get removed if the file is opened in a newer version of Excel. Learn more: https://go.microsoft.com/fwlink/?linkid=870924
Comment:
    Martina’s fees</t>
      </text>
    </comment>
    <comment ref="Q48" authorId="29" shapeId="0" xr:uid="{B134584C-B3C5-4FA8-BD92-FF7E743D1F0F}">
      <text>
        <t>[Threaded comment]
Your version of Excel allows you to read this threaded comment; however, any edits to it will get removed if the file is opened in a newer version of Excel. Learn more: https://go.microsoft.com/fwlink/?linkid=870924
Comment:
    Tony will have only $22k in invoices by Oct25. I will have $18k for Jun-Aug-Sep, but not sure all of that could be claimed for this deliverable… Justus will have $3200 in invoices
Reply:
    Tony invoices plus Govern Well</t>
      </text>
    </comment>
    <comment ref="Q49" authorId="30" shapeId="0" xr:uid="{219FDB18-D3CA-4BBF-84FB-156A32016568}">
      <text>
        <t>[Threaded comment]
Your version of Excel allows you to read this threaded comment; however, any edits to it will get removed if the file is opened in a newer version of Excel. Learn more: https://go.microsoft.com/fwlink/?linkid=870924
Comment:
    The rest of the deliverables under MP3 should be shifted to later.
Reply:
    Corps Africa</t>
      </text>
    </comment>
    <comment ref="R51" authorId="31" shapeId="0" xr:uid="{200E3791-494B-4AF8-9621-EF7C5C1D46C7}">
      <text>
        <t>[Threaded comment]
Your version of Excel allows you to read this threaded comment; however, any edits to it will get removed if the file is opened in a newer version of Excel. Learn more: https://go.microsoft.com/fwlink/?linkid=870924
Comment:
    LiDAR and Ganza Green to be claimed here
Reply:
    40% up front for LiDAR, balance likely due at end of Feb.  Ganza Green partial invoice by end of Feb</t>
      </text>
    </comment>
    <comment ref="R52" authorId="32" shapeId="0" xr:uid="{984F8BE3-5762-4A11-80BC-46366794606E}">
      <text>
        <t xml:space="preserve">[Threaded comment]
Your version of Excel allows you to read this threaded comment; however, any edits to it will get removed if the file is opened in a newer version of Excel. Learn more: https://go.microsoft.com/fwlink/?linkid=870924
Comment:
    TB claimed $6,110, (Nov/Dec), ABH invoice, GovernWell </t>
      </text>
    </comment>
    <comment ref="R53" authorId="33" shapeId="0" xr:uid="{85CF1E70-A1D0-4B76-98C6-F16DB24CEE93}">
      <text>
        <t xml:space="preserve">[Threaded comment]
Your version of Excel allows you to read this threaded comment; however, any edits to it will get removed if the file is opened in a newer version of Excel. Learn more: https://go.microsoft.com/fwlink/?linkid=870924
Comment:
    WorldVision, ABH, TB, </t>
      </text>
    </comment>
    <comment ref="H54" authorId="34" shapeId="0" xr:uid="{5BCCF993-C15F-40AA-B739-5A9B95A47ABB}">
      <text>
        <t>[Threaded comment]
Your version of Excel allows you to read this threaded comment; however, any edits to it will get removed if the file is opened in a newer version of Excel. Learn more: https://go.microsoft.com/fwlink/?linkid=870924
Comment:
    Include another deliverable all the stakeholder engagement activities (launch agenda and minutes from meetings)</t>
      </text>
    </comment>
    <comment ref="C64" authorId="35" shapeId="0" xr:uid="{0B2ADF72-AF63-4A5C-AAE2-05043786DC41}">
      <text>
        <t>[Threaded comment]
Your version of Excel allows you to read this threaded comment; however, any edits to it will get removed if the file is opened in a newer version of Excel. Learn more: https://go.microsoft.com/fwlink/?linkid=870924
Comment:
    Check CLO salaries and actual titles/salaries of tree planters</t>
      </text>
    </comment>
    <comment ref="I66" authorId="36" shapeId="0" xr:uid="{01C345D0-B115-45E2-A388-3DA814B5B921}">
      <text>
        <t>[Threaded comment]
Your version of Excel allows you to read this threaded comment; however, any edits to it will get removed if the file is opened in a newer version of Excel. Learn more: https://go.microsoft.com/fwlink/?linkid=870924
Comment:
    1/2 of 28% of 22 months as per contract
Reply:
    I merged TB and MB taxes into one line for TA3 consultant taxes</t>
      </text>
    </comment>
    <comment ref="J66" authorId="37" shapeId="0" xr:uid="{EF8CCCAB-B82E-4AFF-914E-F0AEFE768E09}">
      <text>
        <t>[Threaded comment]
Your version of Excel allows you to read this threaded comment; however, any edits to it will get removed if the file is opened in a newer version of Excel. Learn more: https://go.microsoft.com/fwlink/?linkid=870924
Comment:
    1/2 of 28% of 22 months as per contract
Reply:
    I merged TB and MB taxes into one line for TA3 consultant taxes</t>
      </text>
    </comment>
    <comment ref="H71" authorId="38" shapeId="0" xr:uid="{FE2D4A20-EC58-4913-AC42-BCC5E00B66BC}">
      <text>
        <t>[Threaded comment]
Your version of Excel allows you to read this threaded comment; however, any edits to it will get removed if the file is opened in a newer version of Excel. Learn more: https://go.microsoft.com/fwlink/?linkid=870924
Comment:
    Check with Sam on how much this is</t>
      </text>
    </comment>
    <comment ref="C72" authorId="39" shapeId="0" xr:uid="{4EB42AF8-1BE9-4C06-AB3A-7470F354A45D}">
      <text>
        <t>[Threaded comment]
Your version of Excel allows you to read this threaded comment; however, any edits to it will get removed if the file is opened in a newer version of Excel. Learn more: https://go.microsoft.com/fwlink/?linkid=870924
Comment:
    Check with Sam on costs associated with this</t>
      </text>
    </comment>
    <comment ref="C74" authorId="40" shapeId="0" xr:uid="{FA363402-92C8-430F-9FFA-1258EDD65744}">
      <text>
        <t>[Threaded comment]
Your version of Excel allows you to read this threaded comment; however, any edits to it will get removed if the file is opened in a newer version of Excel. Learn more: https://go.microsoft.com/fwlink/?linkid=870924
Comment:
    How much are the cows and bus terminal costs?</t>
      </text>
    </comment>
    <comment ref="J74" authorId="41" shapeId="0" xr:uid="{FEC110C1-D9F0-4297-8E61-359B24982EC9}">
      <text>
        <t>[Threaded comment]
Your version of Excel allows you to read this threaded comment; however, any edits to it will get removed if the file is opened in a newer version of Excel. Learn more: https://go.microsoft.com/fwlink/?linkid=870924
Comment:
    Bus station = 222K</t>
      </text>
    </comment>
    <comment ref="I77" authorId="42" shapeId="0" xr:uid="{14AFA973-635E-4449-9706-296742CB442A}">
      <text>
        <t>[Threaded comment]
Your version of Excel allows you to read this threaded comment; however, any edits to it will get removed if the file is opened in a newer version of Excel. Learn more: https://go.microsoft.com/fwlink/?linkid=870924
Comment:
    Jo’s travel</t>
      </text>
    </comment>
    <comment ref="J77" authorId="43" shapeId="0" xr:uid="{3E46B361-A9D7-4793-A113-77AB0D1983DF}">
      <text>
        <t>[Threaded comment]
Your version of Excel allows you to read this threaded comment; however, any edits to it will get removed if the file is opened in a newer version of Excel. Learn more: https://go.microsoft.com/fwlink/?linkid=870924
Comment:
    Jo’s travel</t>
      </text>
    </comment>
    <comment ref="L78" authorId="44" shapeId="0" xr:uid="{85FB167A-9BB5-498E-9411-51AB5CA2CA93}">
      <text>
        <t>[Threaded comment]
Your version of Excel allows you to read this threaded comment; however, any edits to it will get removed if the file is opened in a newer version of Excel. Learn more: https://go.microsoft.com/fwlink/?linkid=870924
Comment:
    Will be done by 31 Mar 2026</t>
      </text>
    </comment>
    <comment ref="K80" authorId="45" shapeId="0" xr:uid="{D67A87CE-21BF-4549-BAF2-671AE91257B1}">
      <text>
        <t>[Threaded comment]
Your version of Excel allows you to read this threaded comment; however, any edits to it will get removed if the file is opened in a newer version of Excel. Learn more: https://go.microsoft.com/fwlink/?linkid=870924
Comment:
    Was 10,550 in the previous budget for some reason...</t>
      </text>
    </comment>
    <comment ref="L82" authorId="46" shapeId="0" xr:uid="{E781902B-0BCE-4562-9537-FB6573E5E80B}">
      <text>
        <t>[Threaded comment]
Your version of Excel allows you to read this threaded comment; however, any edits to it will get removed if the file is opened in a newer version of Excel. Learn more: https://go.microsoft.com/fwlink/?linkid=870924
Comment:
    Now due on 31 Oct 2025, but won’t be paid until Nov 25</t>
      </text>
    </comment>
    <comment ref="R82" authorId="47" shapeId="0" xr:uid="{568FB90C-9DFA-47B1-B217-413C1CDD61B5}">
      <text>
        <t>[Threaded comment]
Your version of Excel allows you to read this threaded comment; however, any edits to it will get removed if the file is opened in a newer version of Excel. Learn more: https://go.microsoft.com/fwlink/?linkid=870924
Comment:
    invoices mostly paid</t>
      </text>
    </comment>
    <comment ref="K83" authorId="48" shapeId="0" xr:uid="{4B4602DF-8946-4CEF-A018-C14F22C7B39F}">
      <text>
        <t>[Threaded comment]
Your version of Excel allows you to read this threaded comment; however, any edits to it will get removed if the file is opened in a newer version of Excel. Learn more: https://go.microsoft.com/fwlink/?linkid=870924
Comment:
    Split these into two deliverables</t>
      </text>
    </comment>
    <comment ref="L83" authorId="49" shapeId="0" xr:uid="{C78E3A55-F2B5-4413-824D-77207E2260FA}">
      <text>
        <t>[Threaded comment]
Your version of Excel allows you to read this threaded comment; however, any edits to it will get removed if the file is opened in a newer version of Excel. Learn more: https://go.microsoft.com/fwlink/?linkid=870924
Comment:
    Due Dec 2025</t>
      </text>
    </comment>
    <comment ref="K84" authorId="50" shapeId="0" xr:uid="{931CB780-13D8-42C1-94A9-993310C36CE1}">
      <text>
        <t xml:space="preserve">[Threaded comment]
Your version of Excel allows you to read this threaded comment; however, any edits to it will get removed if the file is opened in a newer version of Excel. Learn more: https://go.microsoft.com/fwlink/?linkid=870924
Comment:
    Add Jo’s invoices in to this budget
</t>
      </text>
    </comment>
    <comment ref="L84" authorId="51" shapeId="0" xr:uid="{FFB74322-58F1-42DF-98BB-B19E85E57932}">
      <text>
        <t>[Threaded comment]
Your version of Excel allows you to read this threaded comment; however, any edits to it will get removed if the file is opened in a newer version of Excel. Learn more: https://go.microsoft.com/fwlink/?linkid=870924
Comment:
    Now due 31 Mar 2026</t>
      </text>
    </comment>
    <comment ref="L85" authorId="52" shapeId="0" xr:uid="{79410EA9-F566-4132-8564-2251BC092696}">
      <text>
        <t>[Threaded comment]
Your version of Excel allows you to read this threaded comment; however, any edits to it will get removed if the file is opened in a newer version of Excel. Learn more: https://go.microsoft.com/fwlink/?linkid=870924
Comment:
    Now due 31 Mar 2026</t>
      </text>
    </comment>
    <comment ref="K86" authorId="53" shapeId="0" xr:uid="{3153C0D8-918B-417D-BE06-75FB6030CE74}">
      <text>
        <t>[Threaded comment]
Your version of Excel allows you to read this threaded comment; however, any edits to it will get removed if the file is opened in a newer version of Excel. Learn more: https://go.microsoft.com/fwlink/?linkid=870924
Comment:
    Split these into two deliverables</t>
      </text>
    </comment>
    <comment ref="L86" authorId="54" shapeId="0" xr:uid="{F21C7C8A-5232-468A-8832-D8C45E4D180E}">
      <text>
        <t>[Threaded comment]
Your version of Excel allows you to read this threaded comment; however, any edits to it will get removed if the file is opened in a newer version of Excel. Learn more: https://go.microsoft.com/fwlink/?linkid=870924
Comment:
    Now due Aug 2025</t>
      </text>
    </comment>
    <comment ref="L87" authorId="55" shapeId="0" xr:uid="{CCF20096-EEEF-4BDA-A916-285103634D1C}">
      <text>
        <t>[Threaded comment]
Your version of Excel allows you to read this threaded comment; however, any edits to it will get removed if the file is opened in a newer version of Excel. Learn more: https://go.microsoft.com/fwlink/?linkid=870924
Comment:
    Now due 31 Mar 2026</t>
      </text>
    </comment>
    <comment ref="L88" authorId="56" shapeId="0" xr:uid="{FAA13722-C1B2-404E-89FF-3C14DFAED7E6}">
      <text>
        <t>[Threaded comment]
Your version of Excel allows you to read this threaded comment; however, any edits to it will get removed if the file is opened in a newer version of Excel. Learn more: https://go.microsoft.com/fwlink/?linkid=870924
Comment:
    Now due Aug 2025</t>
      </text>
    </comment>
    <comment ref="L89" authorId="57" shapeId="0" xr:uid="{06759E84-F806-4658-9642-765FEC409B57}">
      <text>
        <t>[Threaded comment]
Your version of Excel allows you to read this threaded comment; however, any edits to it will get removed if the file is opened in a newer version of Excel. Learn more: https://go.microsoft.com/fwlink/?linkid=870924
Comment:
    Now due 31 Mar 2026</t>
      </text>
    </comment>
    <comment ref="R90" authorId="58" shapeId="0" xr:uid="{2C040BFE-318A-497F-AB8D-7D2D5BDB77F8}">
      <text>
        <t>[Threaded comment]
Your version of Excel allows you to read this threaded comment; however, any edits to it will get removed if the file is opened in a newer version of Excel. Learn more: https://go.microsoft.com/fwlink/?linkid=870924
Comment:
    shifted to an internal project, potential reallocation to another activity - under TA 1</t>
      </text>
    </comment>
    <comment ref="S90" authorId="59" shapeId="0" xr:uid="{F1E088F5-2D06-4DD2-A399-17A1A64DECF0}">
      <text>
        <t xml:space="preserve">[Threaded comment]
Your version of Excel allows you to read this threaded comment; however, any edits to it will get removed if the file is opened in a newer version of Excel. Learn more: https://go.microsoft.com/fwlink/?linkid=870924
Comment:
    shifted from MP4, potential internal allocation
</t>
      </text>
    </comment>
    <comment ref="S91" authorId="60" shapeId="0" xr:uid="{C20D23EE-3E05-49D1-95BA-D8E9397188C5}">
      <text>
        <t xml:space="preserve">[Threaded comment]
Your version of Excel allows you to read this threaded comment; however, any edits to it will get removed if the file is opened in a newer version of Excel. Learn more: https://go.microsoft.com/fwlink/?linkid=870924
Comment:
    On track for MP 4 invoicing </t>
      </text>
    </comment>
    <comment ref="J99" authorId="61" shapeId="0" xr:uid="{E1F1D20A-4BBC-4029-B6FE-4FFA529D3438}">
      <text>
        <t>[Threaded comment]
Your version of Excel allows you to read this threaded comment; however, any edits to it will get removed if the file is opened in a newer version of Excel. Learn more: https://go.microsoft.com/fwlink/?linkid=870924
Comment:
    Moved 100k from TA3. Could be more than this - need to get actual amounts.</t>
      </text>
    </comment>
    <comment ref="C102" authorId="62" shapeId="0" xr:uid="{0768B794-7E75-4B0D-BE28-6F9FD387665F}">
      <text>
        <t xml:space="preserve">[Threaded comment]
Your version of Excel allows you to read this threaded comment; however, any edits to it will get removed if the file is opened in a newer version of Excel. Learn more: https://go.microsoft.com/fwlink/?linkid=870924
Comment:
    Started under priority project, need to track </t>
      </text>
    </comment>
    <comment ref="I103" authorId="63" shapeId="0" xr:uid="{366659EC-5DFD-47A1-A6CB-233C5C257C20}">
      <text>
        <t>[Threaded comment]
Your version of Excel allows you to read this threaded comment; however, any edits to it will get removed if the file is opened in a newer version of Excel. Learn more: https://go.microsoft.com/fwlink/?linkid=870924
Comment:
    check on cost share vs. DFC claim</t>
      </text>
    </comment>
    <comment ref="J108" authorId="64" shapeId="0" xr:uid="{E3320694-80D2-4CCE-B323-B1A52F617C0B}">
      <text>
        <t>[Threaded comment]
Your version of Excel allows you to read this threaded comment; however, any edits to it will get removed if the file is opened in a newer version of Excel. Learn more: https://go.microsoft.com/fwlink/?linkid=870924
Comment:
    Additional fees for ESIAs (Courrier sample, sattelite imagery)</t>
      </text>
    </comment>
    <comment ref="R112" authorId="65" shapeId="0" xr:uid="{C748A016-ED1A-4581-8EBB-CF5285EEBE4E}">
      <text>
        <t xml:space="preserve">[Threaded comment]
Your version of Excel allows you to read this threaded comment; however, any edits to it will get removed if the file is opened in a newer version of Excel. Learn more: https://go.microsoft.com/fwlink/?linkid=870924
Comment:
    Need SLR invoicing </t>
      </text>
    </comment>
    <comment ref="Q113" authorId="66" shapeId="0" xr:uid="{1C5F2835-150B-4C24-B96C-00AC9DF48609}">
      <text>
        <t>[Threaded comment]
Your version of Excel allows you to read this threaded comment; however, any edits to it will get removed if the file is opened in a newer version of Excel. Learn more: https://go.microsoft.com/fwlink/?linkid=870924
Comment:
    ETEK fees and travel and ½ Jo’s fees</t>
      </text>
    </comment>
    <comment ref="V113" authorId="67" shapeId="0" xr:uid="{2BF64B06-016E-4741-BEA5-82DB0AFF9D95}">
      <text>
        <t>[Threaded comment]
Your version of Excel allows you to read this threaded comment; however, any edits to it will get removed if the file is opened in a newer version of Excel. Learn more: https://go.microsoft.com/fwlink/?linkid=870924
Comment:
    Will need to reconcile this in MP3 request and next cost-share report</t>
      </text>
    </comment>
    <comment ref="R114" authorId="68" shapeId="0" xr:uid="{5B22AD31-539C-45EE-B592-5BA8D9F055DB}">
      <text>
        <t xml:space="preserve">[Threaded comment]
Your version of Excel allows you to read this threaded comment; however, any edits to it will get removed if the file is opened in a newer version of Excel. Learn more: https://go.microsoft.com/fwlink/?linkid=870924
Comment:
    expect invoices - check with Benon
</t>
      </text>
    </comment>
    <comment ref="Q115" authorId="69" shapeId="0" xr:uid="{C7D25DF2-43CA-4BC1-8519-1727D07918C8}">
      <text>
        <t>[Threaded comment]
Your version of Excel allows you to read this threaded comment; however, any edits to it will get removed if the file is opened in a newer version of Excel. Learn more: https://go.microsoft.com/fwlink/?linkid=870924
Comment:
    ½ Jos Fees plus Martina’s fees</t>
      </text>
    </comment>
    <comment ref="R115" authorId="70" shapeId="0" xr:uid="{F6CA1A11-2348-4B49-82D5-B062F440F23C}">
      <text>
        <t xml:space="preserve">[Threaded comment]
Your version of Excel allows you to read this threaded comment; however, any edits to it will get removed if the file is opened in a newer version of Excel. Learn more: https://go.microsoft.com/fwlink/?linkid=870924
Comment:
    check JD invoices </t>
      </text>
    </comment>
    <comment ref="S116" authorId="71" shapeId="0" xr:uid="{8BA08C9B-173C-4072-8475-3B81635FA8A2}">
      <text>
        <t xml:space="preserve">[Threaded comment]
Your version of Excel allows you to read this threaded comment; however, any edits to it will get removed if the file is opened in a newer version of Excel. Learn more: https://go.microsoft.com/fwlink/?linkid=870924
Comment:
    Potential shift - keep for potential due diligence </t>
      </text>
    </comment>
    <comment ref="C117" authorId="72" shapeId="0" xr:uid="{BA8E7979-B7B5-43AA-AE42-2D47D9F45164}">
      <text>
        <t>[Threaded comment]
Your version of Excel allows you to read this threaded comment; however, any edits to it will get removed if the file is opened in a newer version of Excel. Learn more: https://go.microsoft.com/fwlink/?linkid=870924
Comment:
    Which staff could we put towards this one, that aren’t already accounted for above? Sam? But it would be only a portion of his salary and that’s where it becomes tricky. Perhaps we remove from here.</t>
      </text>
    </comment>
  </commentList>
</comments>
</file>

<file path=xl/sharedStrings.xml><?xml version="1.0" encoding="utf-8"?>
<sst xmlns="http://schemas.openxmlformats.org/spreadsheetml/2006/main" count="1101" uniqueCount="479">
  <si>
    <t>#</t>
  </si>
  <si>
    <t>Activity</t>
  </si>
  <si>
    <t xml:space="preserve">Tasks </t>
  </si>
  <si>
    <t xml:space="preserve">Phase </t>
  </si>
  <si>
    <t xml:space="preserve">Status </t>
  </si>
  <si>
    <t>Service Provider</t>
  </si>
  <si>
    <t>Deliverables</t>
  </si>
  <si>
    <t>TMG Co-spend</t>
  </si>
  <si>
    <t xml:space="preserve">TA Budget </t>
  </si>
  <si>
    <t>Milestone Payment No.</t>
  </si>
  <si>
    <t>Q2 '24</t>
  </si>
  <si>
    <t>Q3 '24</t>
  </si>
  <si>
    <t>Q4 '24</t>
  </si>
  <si>
    <t>Q1 '25</t>
  </si>
  <si>
    <t>Q2 '25</t>
  </si>
  <si>
    <t>Q3 '25</t>
  </si>
  <si>
    <t>Trinity Metals Group Skills Training and People Development</t>
  </si>
  <si>
    <t xml:space="preserve">Full Training Needs Assessment and Analysis across the Trinity Group. </t>
  </si>
  <si>
    <t>Completed</t>
  </si>
  <si>
    <t xml:space="preserve">SML4 Change </t>
  </si>
  <si>
    <t xml:space="preserve">1.1.1. Organisational Training needs assessment &amp; analysis : Report
1.1.2. Organisational Training needs assessment and Analysis: Plan </t>
  </si>
  <si>
    <t>MP 1</t>
  </si>
  <si>
    <t>Development and delivery of a leadership program for all Supervisors and Managers.</t>
  </si>
  <si>
    <t>1. Training Programmes Developed for Supervisory, Management and Leadership levels in three Phases - A, B and C:</t>
  </si>
  <si>
    <t>(i)</t>
  </si>
  <si>
    <t>Design and Implement learning Solutions:  Part A</t>
  </si>
  <si>
    <t>In Progress</t>
  </si>
  <si>
    <t>1.2.i.1. Training architecture &amp; learning solutions delivery
1.2.i.2. Supervisory program training package
1.2.i.3. Leadership program training package
1.2.i.4. Management Development program
1.2.i.5.Graduate Development program
1.2.i.6.Service/Support Depts. Training system</t>
  </si>
  <si>
    <t>MP 2</t>
  </si>
  <si>
    <t>(ii)</t>
  </si>
  <si>
    <t>Design and Implement learning Solutions:  Part B</t>
  </si>
  <si>
    <t>Not started</t>
  </si>
  <si>
    <t>1.2.ii.1.Supervisory coaching program
1.2.ii.2.Mentorship program
1.2.ii.3. Team Training Program</t>
  </si>
  <si>
    <t>MP 3</t>
  </si>
  <si>
    <t>(iii)</t>
  </si>
  <si>
    <t xml:space="preserve">Monitoring and Review </t>
  </si>
  <si>
    <t>1.2.iii.1. Learning &amp; skills workplace application
1.2.iii.2. Skills Program Development</t>
  </si>
  <si>
    <t>Development of a formal Training Function and System with Rwandan Trainers for the Trinity Group (Training Governance and System Tools).</t>
  </si>
  <si>
    <t>1.3.1. Organisational training System
1.3.2. Training support systems</t>
  </si>
  <si>
    <t>??</t>
  </si>
  <si>
    <t>Development and implementation of formal blasting training certification</t>
  </si>
  <si>
    <t xml:space="preserve">1.4.1. Blasting certificate training program
1.4.2. Pilot Session  19-Feb - 8 March 2024. 
1.4.3. National Certification </t>
  </si>
  <si>
    <t>Development and implementation of competency-based training programs for all critical jobs, prioritizing high risk equipment and machinery training.</t>
  </si>
  <si>
    <t>1.5.1. Hazard Identification &amp; Risk Assessment (HIRA) program developed for all employees.
1.5.2. Technical programs for Mining, Engineering &amp; Process to commence</t>
  </si>
  <si>
    <t>English and Communications Skills Training</t>
  </si>
  <si>
    <t>HULT / EF</t>
  </si>
  <si>
    <t xml:space="preserve">1.6.1. 320 employees complete Teacher-led English &amp; Communication Program </t>
  </si>
  <si>
    <t>MP 5 &amp; 6</t>
  </si>
  <si>
    <t xml:space="preserve">English Proficiency testing </t>
  </si>
  <si>
    <t xml:space="preserve">1.7.1. English proficiency testing for 4000 employees </t>
  </si>
  <si>
    <t>MP 4, 5 &amp; 6</t>
  </si>
  <si>
    <t>Trinity Metals - Cost Share</t>
  </si>
  <si>
    <t xml:space="preserve">25% of Project budget : Internal Trinity HR training staff salaries, use of facilities, catering,  accommodation and transportation of trainees, </t>
  </si>
  <si>
    <t>NOTES:</t>
  </si>
  <si>
    <t>Additional Costs for SML consultants (Flights, transport and accommodation etc)</t>
  </si>
  <si>
    <t>Training/skills development costs (programs, courses, seminars, study assistance etc)</t>
  </si>
  <si>
    <t>NEBOSH training</t>
  </si>
  <si>
    <t xml:space="preserve">Safety Training - mine rescue setup and training </t>
  </si>
  <si>
    <t>Finance and HR Training</t>
  </si>
  <si>
    <t xml:space="preserve">MARY - please indicate additional funding </t>
  </si>
  <si>
    <t>TOTAL FOR A</t>
  </si>
  <si>
    <t>Development and Implementation of an integrated, group-wide SHEC Management System.</t>
  </si>
  <si>
    <t xml:space="preserve">Gap Analysis. Review of all SHEC system procedures, registers and records, identification of gaps and design program for SHEC system development and implementation. </t>
  </si>
  <si>
    <t>GF &amp; JLD</t>
  </si>
  <si>
    <t>2.1.1. Gap analysis, plan and programme for implementation of the SHEC MS</t>
  </si>
  <si>
    <t>Baseline-Risk Assessment and Impact/Aspect Register for all operations and activities, undertaking the necessary training of SHEC and operational staff.</t>
  </si>
  <si>
    <t>In progress</t>
  </si>
  <si>
    <t>2.2.1. Baseline Risk Assessment for all activities across the entire TMG group. (MP 1)
2.2.2. Training of SHEC staff and supervisors in BLRA procedure. (MP 2)
2.2.3. Impact/Aspect Register for Group and for each of the Mines (MP 2)</t>
  </si>
  <si>
    <t>MP 1, 2</t>
  </si>
  <si>
    <t xml:space="preserve">Engineering/structural analyses for underground workings and tailings/waste piles and dams.  </t>
  </si>
  <si>
    <t xml:space="preserve">OHMS / TS/ Bara </t>
  </si>
  <si>
    <t xml:space="preserve">2.3.1. Engineering / structural reporting </t>
  </si>
  <si>
    <t>Baseline OH Surveys for all OH risk-exposure working areas (include: vibration, noise, ventiliation, dust, light and ergonomic, gasses etc)</t>
  </si>
  <si>
    <t>not started</t>
  </si>
  <si>
    <t>tbc</t>
  </si>
  <si>
    <t xml:space="preserve">2.4.1. OHS Baseline Survey results and recommendations </t>
  </si>
  <si>
    <t>Setting of the SHEC Targets and Objectives at a corporate level and across all mining operations</t>
  </si>
  <si>
    <t>Completed for Trinity for 2024</t>
  </si>
  <si>
    <t>2.5.1. SHEC targets and objectives for 2024 (completed). (MP 1)
2.5.2. SHEC Targets and objectives for 2025. (MP 4)</t>
  </si>
  <si>
    <t>MP 1, 4</t>
  </si>
  <si>
    <t>SHEC System procedure development, covering all elements related to ISO 14001: 2015 and ISO 45001: 2018.</t>
  </si>
  <si>
    <t xml:space="preserve">2.6.1. All SHEC System Procedures developed. </t>
  </si>
  <si>
    <t xml:space="preserve">Operational Environmental and Social Action Plan (ESAP), aligned to the ESIA, Impact Aspect register, legal register and lender requirements. </t>
  </si>
  <si>
    <t>In progress (highlevel for TMG completed)</t>
  </si>
  <si>
    <r>
      <t xml:space="preserve">2.7.1. Highlevel TMG ESAP (completed and updated regularly. (MP 1)
2.7.2. ESAPs for each of the Mines. (MP 4)
</t>
    </r>
    <r>
      <rPr>
        <sz val="11"/>
        <color rgb="FFFF0000"/>
        <rFont val="Aptos Narrow"/>
        <family val="2"/>
        <scheme val="minor"/>
      </rPr>
      <t>2.7.3. Lender ESAP (not in TAIP)</t>
    </r>
  </si>
  <si>
    <t xml:space="preserve">Implementation of the SHEC System Procedures. </t>
  </si>
  <si>
    <t xml:space="preserve">2.8.1. All SHEC procedures implemented, necessary training in their application undertaken. </t>
  </si>
  <si>
    <t>MP 4</t>
  </si>
  <si>
    <t xml:space="preserve">Training and Mentoring of management and SHEC personnel in the MS implementation. </t>
  </si>
  <si>
    <t xml:space="preserve">2.9.1. SHEC staff able to fulfil their functions effectively. </t>
  </si>
  <si>
    <t>MP 4?</t>
  </si>
  <si>
    <r>
      <t xml:space="preserve">1st Aid (Level 1 and 2) and </t>
    </r>
    <r>
      <rPr>
        <strike/>
        <sz val="11"/>
        <color rgb="FFFF0000"/>
        <rFont val="Aptos Narrow"/>
        <family val="2"/>
        <scheme val="minor"/>
      </rPr>
      <t>1st responder training</t>
    </r>
    <r>
      <rPr>
        <sz val="11"/>
        <color theme="1"/>
        <rFont val="Aptos Narrow"/>
        <family val="2"/>
        <scheme val="minor"/>
      </rPr>
      <t xml:space="preserve"> and refresher training across TMG</t>
    </r>
  </si>
  <si>
    <t xml:space="preserve">2.10.1. Courses completed and registers maintained. </t>
  </si>
  <si>
    <t xml:space="preserve">Behavior Based Care (BBC) System development and implementation </t>
  </si>
  <si>
    <t xml:space="preserve">2.11.1. BBC System Planning Document.
2.11.2. BBC training records and reporting </t>
  </si>
  <si>
    <t>MP 5</t>
  </si>
  <si>
    <t>Trinity Metals - Cost Share (B)</t>
  </si>
  <si>
    <t>25% of Project Budget: HSE Staff salaries and expenses, transportation costs, hygiene surveys, H&amp;s campaigns etc</t>
  </si>
  <si>
    <t>Additional consulting fees for OHS and E&amp;S Specialists</t>
  </si>
  <si>
    <t>GF - Gerrit Ferriera ; JLD: Joanne Daneel</t>
  </si>
  <si>
    <t>Mobile Equipment  Driver/Operator training</t>
  </si>
  <si>
    <t xml:space="preserve">OHMS - Open House Management Solutions (Geotech inspections, advice and reporting) </t>
  </si>
  <si>
    <t>Medical Serveillance Programme</t>
  </si>
  <si>
    <t>TS - Tailings Solutions (Tailings design and assessment - dam design and assessment - competent persons reporting )</t>
  </si>
  <si>
    <t>PPE Provision</t>
  </si>
  <si>
    <t xml:space="preserve">Bara Consulting - Mining Engineering </t>
  </si>
  <si>
    <t xml:space="preserve">OHS Monitoring Equipment </t>
  </si>
  <si>
    <t>TOTAL FOR B</t>
  </si>
  <si>
    <t>Formulation of an Integrated Development Plan (IDP) for the Concessions.</t>
  </si>
  <si>
    <t>Comprehensive GIS-based Land Use Mapping of all the Trinity Metals Concession areas, utilizing latest Satellite Imagery.</t>
  </si>
  <si>
    <t>In Progess</t>
  </si>
  <si>
    <t>SLR / In country GIS sevices</t>
  </si>
  <si>
    <t>3.1.1. Accurate, groundtruthed geo-referenced mapping for all three Trinity Mining Concessions . Map will include:
1. Landuses (mining, agriculture etc),  
2. land condition (degration, erosion etc)
3. topographical features (rivers, wetlands, steep slopes)..etc</t>
  </si>
  <si>
    <t xml:space="preserve">Ground truth landuse/ landcover data, key social institutions and activities, land condition, river and wetland drivers etc. </t>
  </si>
  <si>
    <t>TB / JK / GT</t>
  </si>
  <si>
    <t xml:space="preserve">Stakeholder engagement in all phases for the IDPs and at all levels (initiation, needs and opportunities, Draft IDPs etc) </t>
  </si>
  <si>
    <t>TB / JK / MB</t>
  </si>
  <si>
    <t>3.3.1. Stakeholder Database (MP 2)
3.3.2. Stakeholder Engagement Plan (MP 2)
3.3.3. Engagement documentation (workshop outcomes, meeting minutes etc) (MP 4)</t>
  </si>
  <si>
    <t>MP 2 &amp; 4</t>
  </si>
  <si>
    <t>Needs analysis and livelihood assessment for each of the concessions based on a RRA (rapid rural appraisal) approach</t>
  </si>
  <si>
    <t>TB / JK /  MB</t>
  </si>
  <si>
    <t>3.4.1. Needs analysis and livelihood assessment report - for each concession.</t>
  </si>
  <si>
    <t xml:space="preserve">Sustainable livelihood development plans for each concession  </t>
  </si>
  <si>
    <t xml:space="preserve">3.5.1. Sustainable Livelihood Development Plans for each concession </t>
  </si>
  <si>
    <t>Drafting of a Sustainable Integrated Development Plans (IDPs) and Programs for the Concession Areas</t>
  </si>
  <si>
    <t>3.6.1. SIDP for each concession.</t>
  </si>
  <si>
    <t>Funding model for the implementation of the IDPs through potential partnerships with government, funding agencies and the private sector.</t>
  </si>
  <si>
    <t>TB / MB</t>
  </si>
  <si>
    <t>3.7.1. Funding model and proposals</t>
  </si>
  <si>
    <t>MP 6</t>
  </si>
  <si>
    <t>Develop a performance monitoring system to link with UN SDG’s.</t>
  </si>
  <si>
    <t>MB</t>
  </si>
  <si>
    <t xml:space="preserve">3.8.1. Performance monitoring system </t>
  </si>
  <si>
    <t>Trinity Metals - Cost Share (C)</t>
  </si>
  <si>
    <t xml:space="preserve">25% of Project budget : CLO salaries, Casual staff salaries, tree planting, terracing </t>
  </si>
  <si>
    <t xml:space="preserve">NOTES: </t>
  </si>
  <si>
    <t xml:space="preserve">Purchase of Satellite Imagery, elevation data and lidar survey's </t>
  </si>
  <si>
    <t xml:space="preserve">TB - Tony Barbour (social consultant for the ESIA SIA) - www.tonybarbour.co.za </t>
  </si>
  <si>
    <t>Anchor Community Project in each of the concession areas (e.g water supply upgrade)</t>
  </si>
  <si>
    <t>JK - Justus Kangwagye (Community liaison and stakeholder consultant - in country)</t>
  </si>
  <si>
    <t>ECDC Support in all three concession areas</t>
  </si>
  <si>
    <t>GT - Groundtruth Consulting (aquatic and terrestrial environmental engineering. www.groundtruth.co.za)</t>
  </si>
  <si>
    <t>Maintanace of Community Roads (ad hoc)</t>
  </si>
  <si>
    <t>MB - Martina Bennett (social scientist)</t>
  </si>
  <si>
    <t>Community Service (Umuganda)</t>
  </si>
  <si>
    <t xml:space="preserve">Medical contributions to vulnerable people </t>
  </si>
  <si>
    <t>Other community Development and CSR costs</t>
  </si>
  <si>
    <t xml:space="preserve">TOTAL FOR C </t>
  </si>
  <si>
    <t>The Development of a Legacy Tailings Management and River Rehabilitation Plan for Rutongo, Musha and Nyakabingo Concessions</t>
  </si>
  <si>
    <t>Baseline Assessment for all mining concessions of the affected rivers, and sources of contamination in and adjacent to affected rivers and preferred pathways of surface water runoff, to determine the river health (present ecological health) and assess river and wetland system drivers. Assessments to include full characterization of waste material, surface water and sediments</t>
  </si>
  <si>
    <t>AB / GT / TS</t>
  </si>
  <si>
    <t>Baseline Assessments: 
4.1.1. Mapping of potential sources of Contaminants (MP 2)
4.1.2. Legacy Tailings mapping, and quantification (MP 2)
4.1.3. Geochem Assessment (waste materials and sediments) (MP 2)
4.1.4. Determination of the PES of all the river systems (MP 3)
4.1.5. Waste characterisation (MP 2)</t>
  </si>
  <si>
    <t>MP 2, 3</t>
  </si>
  <si>
    <t xml:space="preserve">Desktop mapping and GIS analysis. </t>
  </si>
  <si>
    <t>GT / tbc</t>
  </si>
  <si>
    <t>4.2.1. Mapping of all sources and receptors of contamination and GIS Analysis</t>
  </si>
  <si>
    <t xml:space="preserve">Floodline determination for each of the concession areas, including projected flood events under climate change scenarios. </t>
  </si>
  <si>
    <t>GT</t>
  </si>
  <si>
    <t>4.3.1. Floodlines Determination Report</t>
  </si>
  <si>
    <t>Catchment hydrological modelling to characterize present water flows and potential future changes.</t>
  </si>
  <si>
    <t>4.4.1. Catchment hydrological models</t>
  </si>
  <si>
    <t>Review and assessment of GAP analysis of Phase 1.</t>
  </si>
  <si>
    <t>4.5.1. Gap Analysis Report</t>
  </si>
  <si>
    <t>Additional data collection, analysis and reporting as recommended by DFC to address gaps identified in Phase I of this task.</t>
  </si>
  <si>
    <t>SLR / GT / TS</t>
  </si>
  <si>
    <t>4.6.1. tbc</t>
  </si>
  <si>
    <t>?</t>
  </si>
  <si>
    <t xml:space="preserve">Feasibility studies for all mining concessions  including comparative analyses of options for  mineral recovery from legacy tailings, and remediation of waste sources and areas of contamination. </t>
  </si>
  <si>
    <t>TS / GT / GB / ETEK</t>
  </si>
  <si>
    <t xml:space="preserve">4.7.1. Legacy Tailings management and recovery feasibility study reports for each mine / mining area. </t>
  </si>
  <si>
    <t>Scenario modelling and determination of management strategies and interventions required to restore rivers and wetlands to a predetermined ecological state to maximize climate resilience</t>
  </si>
  <si>
    <t>TS / GT / ???</t>
  </si>
  <si>
    <t xml:space="preserve">4.8.1. River rehabilitation scenario modelling and reporting. </t>
  </si>
  <si>
    <t>4.9.1. Integrated tailings Management and River Rehabilitation Plan and Programme for each Concession</t>
  </si>
  <si>
    <t>Trinity Metals - Cost Share (D)</t>
  </si>
  <si>
    <t>25% of Project budget : In kind: Tech Services salaries and expenses etc</t>
  </si>
  <si>
    <t>Additional consulting fees from Tailings Engineers (TAILINGS SOLUTIONS) for the design of engineered and GIIP-compliant tailings facilities</t>
  </si>
  <si>
    <t>AB: Andrea Baker (Geochemist with SLR)    GT: GroundTruth Consulting</t>
  </si>
  <si>
    <t xml:space="preserve">Additional consulting fees from Mineral Processing Consultants </t>
  </si>
  <si>
    <t>Mine Rehabilitation and closure quantification (ETEK)</t>
  </si>
  <si>
    <t>ETEK - ETEk consulting (mine closure and rehabilitation specialists). Greg Brooker (Mineral Process Engineer)</t>
  </si>
  <si>
    <t>TOTAL FOR D</t>
  </si>
  <si>
    <t>Preliminary Assessment/Site Inspections for all three of the TMG mines (Rutongo, Nyakabingo and Musha)</t>
  </si>
  <si>
    <t xml:space="preserve">Preliminary Assessment/Site Inspections for an estimated 9 separate mine sites in three mining concessions (7 separate sites at the Rutongo concession), including the following components:  </t>
  </si>
  <si>
    <t>SLR</t>
  </si>
  <si>
    <r>
      <t xml:space="preserve">5.1.1. Inception Report
5.1.2. Gap Analysis Report.
</t>
    </r>
    <r>
      <rPr>
        <b/>
        <sz val="11"/>
        <color theme="1"/>
        <rFont val="Aptos Narrow"/>
        <family val="2"/>
        <scheme val="minor"/>
      </rPr>
      <t>5.1.3. Baseline Specialist Reports:</t>
    </r>
    <r>
      <rPr>
        <sz val="11"/>
        <color theme="1"/>
        <rFont val="Aptos Narrow"/>
        <family val="2"/>
        <scheme val="minor"/>
      </rPr>
      <t xml:space="preserve">
1. Geohydrology (report and modelling)
2. Hydrology (report, water balances and stormwater management plans)
3. Cultural Heritage
4. Air Quality.
5. Noise
6. Climate Change Assessment
7. Human Rights Assessment
8. Social Impact Assessment
9. Geochem assessment 
10. Aquatic Biodiversity</t>
    </r>
  </si>
  <si>
    <t xml:space="preserve">Characterization of mine waste sources, ambient air, soil, groundwater surface water and sediment; </t>
  </si>
  <si>
    <t xml:space="preserve">Analysis of hydrogeology; identification of ecological and human receptors with an  analysis of potential impacts to these receptors from existing contamination and contaminant migration. </t>
  </si>
  <si>
    <t xml:space="preserve">5.3.1. Environmental and Social Impact Assessment Reports for each mine. </t>
  </si>
  <si>
    <t>MP 2 &amp; 3</t>
  </si>
  <si>
    <t>5.4.1. Gap Analysis Report</t>
  </si>
  <si>
    <t>Additional data collection, analysis and reporting as recommended by  DFC to address gaps identified in Phase I of this task.</t>
  </si>
  <si>
    <t xml:space="preserve">5.5.1. tbc </t>
  </si>
  <si>
    <t>Trinity Metals - Cost Share (E)</t>
  </si>
  <si>
    <t xml:space="preserve">25% of the Project Budget: E&amp;S Staff salaries, transport, expenses etc)  </t>
  </si>
  <si>
    <t>Drillings of boreholes (Africa Drilling)</t>
  </si>
  <si>
    <t>Additional Geohydrology consulting fees and dewatering boreholes (SLR)</t>
  </si>
  <si>
    <t>Water, Air quality, noise monitoring  and reporting (21 months)</t>
  </si>
  <si>
    <t xml:space="preserve">Purchase of monitoring equipment </t>
  </si>
  <si>
    <t>Pollution control dam - Nyakabingo</t>
  </si>
  <si>
    <t>New pollution control dam - Rutongo; Karambo river rehabilitation and bank protection</t>
  </si>
  <si>
    <t>TOTAL FOR E</t>
  </si>
  <si>
    <t>GRAND TOTAL</t>
  </si>
  <si>
    <t>(MOBILISATION)</t>
  </si>
  <si>
    <t>Mobilization Payment</t>
  </si>
  <si>
    <t>1.1.1. Organisational Training needs assessment &amp; analysis : Report</t>
  </si>
  <si>
    <t xml:space="preserve">1.1.2. Organisational Training needs assessment and Analysis: Plan </t>
  </si>
  <si>
    <t xml:space="preserve">Development and delivery of phase 1 training programs - leadership program for all Supervisors and Managers, competency-based training, blasting certificate program, formal training function (ToT), etc. </t>
  </si>
  <si>
    <t>1.2.1. Monthly progress reports and supporting documentation for the delivery of phase 1 training programs (Part A)</t>
  </si>
  <si>
    <t>1.2.2. Monthly progress reports and supporting documentation for delivery of phase 1 training programs (Part B)</t>
  </si>
  <si>
    <t>MOB &amp; MP 2</t>
  </si>
  <si>
    <t>Development and implementation of phase 2 training programs focused on Coaching and Mentoring, Compliance, Safety, etc. and continuation of some phase 1 training programs (technical training, formal training structure, leadership training, etc)</t>
  </si>
  <si>
    <t>1.3.1. Monthly progress reports and supporting documentation for phase 2 training programs (Part A)</t>
  </si>
  <si>
    <t>1.3.2. Monthly progress reports and supporting documentation for phase 2 training programs (Part B)</t>
  </si>
  <si>
    <t>1.3.3. Monthly progress reports and supporting documentation for phase 2 training programs (Part C)</t>
  </si>
  <si>
    <t>Development and implementation of E-learning Platform</t>
  </si>
  <si>
    <t>1.4.1. E-learning platform</t>
  </si>
  <si>
    <t>First responder training (paramedics)</t>
  </si>
  <si>
    <t>1.5.1. 1st responder training completion report</t>
  </si>
  <si>
    <t>25% of Project budget : Internal Trinity HR training staff salaries, use of facilities, catering,  accommodation and transportation of trainees</t>
  </si>
  <si>
    <t>Taxes WHT and VAT (28% of external consultant fees)</t>
  </si>
  <si>
    <t xml:space="preserve">Trinity-funded 2025 Training </t>
  </si>
  <si>
    <t xml:space="preserve">Trinity-funded 2026 Training </t>
  </si>
  <si>
    <t>TOTAL FOR A1</t>
  </si>
  <si>
    <t>should be 700K</t>
  </si>
  <si>
    <t>2.2.1. Baseline Risk Assessment for all activities across the entire TMG group. (MP 1)</t>
  </si>
  <si>
    <t xml:space="preserve">2.2.2. Training of SHEC staff and supervisors in BLRA procedure. </t>
  </si>
  <si>
    <t xml:space="preserve">2.2.3. Impact/Aspect Register for Group and for each of the Mines </t>
  </si>
  <si>
    <t xml:space="preserve">OHMS / ETS </t>
  </si>
  <si>
    <t xml:space="preserve">2.3.1.Engineering Structure Reports for all the mines </t>
  </si>
  <si>
    <t>2.3.2. Additional quarterly engineering structure reports for all the mines</t>
  </si>
  <si>
    <t>MP 2-5</t>
  </si>
  <si>
    <t>Q1 2025</t>
  </si>
  <si>
    <t>MP4</t>
  </si>
  <si>
    <t>2.5.1. SHEC targets and objectives for 2024 (completed)</t>
  </si>
  <si>
    <t xml:space="preserve">2.5.2. SHEC Targets and objectives for 2025. </t>
  </si>
  <si>
    <t xml:space="preserve">2.7.1. Highlevel TMG ESAP (completed and updated regularly. </t>
  </si>
  <si>
    <t xml:space="preserve">2.7.2. ESAPs for each of the Mines. </t>
  </si>
  <si>
    <t>2.8.1. Internal audit report on SHEC management system implementation</t>
  </si>
  <si>
    <t>2.9.1. External audit report on SHEC management system implementation</t>
  </si>
  <si>
    <t xml:space="preserve">2.10.1. Behavior Based Care (BBC) System development and implementation </t>
  </si>
  <si>
    <t>25% of Project Budget: HSE Staff salaries and expenses, transportation costs</t>
  </si>
  <si>
    <t>Taxes WHT and VAT (28% of JLD and OHMS)</t>
  </si>
  <si>
    <t>Purchase Ambulances for each of the mines</t>
  </si>
  <si>
    <t>Purchase of INX in control</t>
  </si>
  <si>
    <t>Medical Surveillance Programme</t>
  </si>
  <si>
    <t>Should be 400K</t>
  </si>
  <si>
    <t>Formulation of the Community Development Plans (CDPs) for the Concessions.</t>
  </si>
  <si>
    <t>Develop detailed SOW, R&amp;R and Programme for the CDPs</t>
  </si>
  <si>
    <t>TB / JK/ MB</t>
  </si>
  <si>
    <t xml:space="preserve">3.1.1. Detailed SOW, R&amp;R and Programme for the IDPs </t>
  </si>
  <si>
    <t>Development of a Stakeholder Database and Engagement Plan</t>
  </si>
  <si>
    <t xml:space="preserve">3.2.1. Stakeholder Database and Engagement Plan </t>
  </si>
  <si>
    <t>Baseline review and analysis for all three concessions, including land use mapping</t>
  </si>
  <si>
    <t>3.3.1. Draft Status Quo Reports</t>
  </si>
  <si>
    <t>3.3.2. Detailed landuse maps for each of the concessions (GIS mapping)</t>
  </si>
  <si>
    <t>3.3.3. Final Status Quo Reports</t>
  </si>
  <si>
    <t>Needs analysis and livelihood assessment for each of the concessions</t>
  </si>
  <si>
    <t>3.4.1. Concession Community Needs Analysis and Livelihoods Assessment Reports</t>
  </si>
  <si>
    <t>Drafting of the Community Development Plans for each concession</t>
  </si>
  <si>
    <t xml:space="preserve">
3.5.1. Draft Community Development Plan - Rutongo
</t>
  </si>
  <si>
    <t>3.5.2. Draft Community Development Plan - Nyakabingo</t>
  </si>
  <si>
    <t>3.5.3. Draft Community Development Plan - Musha</t>
  </si>
  <si>
    <t>Develop a performance monitoring system for the CDPs to link with UN SDG’s.</t>
  </si>
  <si>
    <t>3.6.1. Overall CDP M&amp;E Plan</t>
  </si>
  <si>
    <t>Funding model for the implementation of the CDPs through potential partnerships with government, funding agencies and the private sector.</t>
  </si>
  <si>
    <t>3.7.1. Budget and Funding Strategy for the CDPs</t>
  </si>
  <si>
    <t>Stakeholder consultations and finalization of CDPs</t>
  </si>
  <si>
    <t>3.8.1. Final Community Development Plans for all concessions</t>
  </si>
  <si>
    <t>DFC Review and Gap Analysis</t>
  </si>
  <si>
    <t>tbd</t>
  </si>
  <si>
    <t>3.9.1. DFC Review and Gap Analysis Report</t>
  </si>
  <si>
    <t>Additional socioeconomic studies</t>
  </si>
  <si>
    <t>3.10.1. Additional socioeconomic studies</t>
  </si>
  <si>
    <t>CDP implementation planning and partnerships for key projects.</t>
  </si>
  <si>
    <t>3.11.1. CDP Project Plans</t>
  </si>
  <si>
    <t>Trinity Metals - Cost Share (TA3)</t>
  </si>
  <si>
    <t>25% of Project budget : CLO salaries, Casual staff salaries</t>
  </si>
  <si>
    <t>Taxes WHT and VAT (28% of TB consultant fees)</t>
  </si>
  <si>
    <t>Taxes WHT and VAT (28% of MB consultant fees)</t>
  </si>
  <si>
    <t>Corps Africa Volunteers</t>
  </si>
  <si>
    <t>SRA review of land acquisiiton processes and requirements and alignment to PS5.</t>
  </si>
  <si>
    <t>Construction of ECD Centre in Nyakabingo</t>
  </si>
  <si>
    <t>ECDC Support in Nyakabingo (Strong Families)</t>
  </si>
  <si>
    <t>ECDC Support in Rutongo (Strong Families)</t>
  </si>
  <si>
    <t>Environmental Management (tree planting, terracing)</t>
  </si>
  <si>
    <t xml:space="preserve">TOTAL FOR TA3 </t>
  </si>
  <si>
    <t>Should be $800K</t>
  </si>
  <si>
    <t>Develop detailed SOW, R&amp;R and Programme for the TM&amp;RR project</t>
  </si>
  <si>
    <t>GT / TS / ETEK</t>
  </si>
  <si>
    <t xml:space="preserve">4.1.1. Detailed SOW, R&amp;R and Programme for the TM&amp;RR project </t>
  </si>
  <si>
    <t>MOB+MP 2</t>
  </si>
  <si>
    <t xml:space="preserve">Mapping of all sources and receptors of contamination and GIS Analysis </t>
  </si>
  <si>
    <t>4.2.1. Desktop mapping and Geographic Information System data derivation.</t>
  </si>
  <si>
    <t>4.2.2. Source, pathway and receptor analysis, including a review of gaps in ESIA assessments.</t>
  </si>
  <si>
    <t>4.2.3. Hydrocensus – location of community water sources (springs) and nature of utilisation.</t>
  </si>
  <si>
    <t>AB</t>
  </si>
  <si>
    <t xml:space="preserve">4.2.4. Geochem Assessment (waste materials and sediments) </t>
  </si>
  <si>
    <t xml:space="preserve">Ecological health and drivers of the river and wetland ecosystems. </t>
  </si>
  <si>
    <t>4.3.1. Determination of the PES of all the river systems</t>
  </si>
  <si>
    <t>Ecosystem Goods and Services Assessments.</t>
  </si>
  <si>
    <t>4.4.1. Ecosystem Goods and Services Assessment</t>
  </si>
  <si>
    <t>Modelling catchment hydrological flows and sediment movements.</t>
  </si>
  <si>
    <t>4.5.1. Catchment hydrological models</t>
  </si>
  <si>
    <t>Determining flood lines for major streams, including climate change scenarios</t>
  </si>
  <si>
    <t>4.6.1. Flood line Determination Report</t>
  </si>
  <si>
    <t>Tailings assessment and categorization</t>
  </si>
  <si>
    <t>AC</t>
  </si>
  <si>
    <t>4.7.1. Tailings Resource Report</t>
  </si>
  <si>
    <t>4.8.1. Gap Analysis Report</t>
  </si>
  <si>
    <t>Additional data collection, analysis and reporting as recommended by DFC to address gaps identified in Phase 1 of this activity.</t>
  </si>
  <si>
    <t>4.9.1. Additional studies as recommended by DFC to address gaps identified in Phase 1 of this activity.</t>
  </si>
  <si>
    <t>MOB</t>
  </si>
  <si>
    <t>TS / GT / ETEK</t>
  </si>
  <si>
    <t xml:space="preserve">4.10.1. Legacy Tailings management and recovery feasibility study reports for each mine / mining area. </t>
  </si>
  <si>
    <t>TS / GT / tbd</t>
  </si>
  <si>
    <t xml:space="preserve">4.11.1. River rehabilitation scenario modelling </t>
  </si>
  <si>
    <t>Develop Integrated Tailings Management and River Rehabilitation Plan and Programme for each Concession</t>
  </si>
  <si>
    <t xml:space="preserve">TS / GT </t>
  </si>
  <si>
    <t>4.12.1. Integrated Tailings Management and River Rehabilitation Plan and Programme for each Concession</t>
  </si>
  <si>
    <t>Trinity Metals - Cost Share (TA4)</t>
  </si>
  <si>
    <t>Consulting fees from Tailings Engineers (TAILINGS SOLUTIONS) for the design of engineered and GIIP-compliant tailings facilities</t>
  </si>
  <si>
    <t>Water quality monitoring database and dashboard, incorporating existing and future data (Ground Truth)</t>
  </si>
  <si>
    <t>Taxes WHT and VAT (28% on SLR fees)</t>
  </si>
  <si>
    <t>Taxes WHT and VAT (28% of GT consultant fees)</t>
  </si>
  <si>
    <t>28% WHT and VAT taxes on Phase 2 consulting fees</t>
  </si>
  <si>
    <t>Physical rehabiliation work at Karambo mine</t>
  </si>
  <si>
    <t>Masoro and Karambo Illegal Miner Integration Pilot Projects (re-mining of tailings)</t>
  </si>
  <si>
    <t xml:space="preserve">Additional consulting fees from Mining and Resource Consultants </t>
  </si>
  <si>
    <t>TOTAL FOR TA4</t>
  </si>
  <si>
    <t>Should be 950K</t>
  </si>
  <si>
    <t xml:space="preserve">Preliminary Assessment/Site Inspections for an estimated 9 separate mine sites in three mining concessions (7 separate sites at the Rutongo concession), including the following components: 
a. Characterization of mine waste sources, ambient air, soil, groundwater surface water and sediment
b. Analysis of hydrogeology; identification of ecological and human receptors with an  analysis of potential impacts to these receptors from existing contamination and contaminant migration. </t>
  </si>
  <si>
    <t>5.1.1. SLR Inception Report</t>
  </si>
  <si>
    <t>5.1.2. SLR Nyakabingo Feasibility Study and Gap Analysis Report</t>
  </si>
  <si>
    <t>5.1.3. Baseline studies:
1. Geohydrology (report and modelling)
2. Hydrology (report, water balances and stormwater management plans)
3. Cultural Heritage
4. Air Quality.
5. Noise
6. Climate Change Assessment
7. Human Rights Assessment
8. Social Impact Assessment
9. Geochem assessment 
10. Aquatic Biodiversity</t>
  </si>
  <si>
    <t xml:space="preserve">5.1.4. Environmental and Social Impact Assessment Reports (Rutongo and Musha) </t>
  </si>
  <si>
    <t xml:space="preserve">5.1.5. Environmental and Social Management Plans (Rutongo and Musha) </t>
  </si>
  <si>
    <t>5.1.6. ESIA and SEMP - Nyakabingo Mine</t>
  </si>
  <si>
    <t>5.2.1. Review, Gap Analysis, and SOW for additional studies</t>
  </si>
  <si>
    <t>5.3.1. Additional Baseline Studies as defined by Gap Analysis</t>
  </si>
  <si>
    <t>Trinity Metals - Cost Share (TA5)</t>
  </si>
  <si>
    <t>Taxes  WHT and VAT(28% of SLR consulting fees)</t>
  </si>
  <si>
    <t>Taxes WHT and VAT (28% of additional studies undertake as part of Phase 2</t>
  </si>
  <si>
    <t>Trinity cost-share of ESIA (SLR May-June 2024 invoices)</t>
  </si>
  <si>
    <t>Additional Geohydrology consulting fees and dewatering boreholes (MvB)</t>
  </si>
  <si>
    <t>Water, Air quality, noise monitoring  and reporting (18 months)</t>
  </si>
  <si>
    <t>Dam 4 construction and Stormwater Management Structure construction- Nyakabingo</t>
  </si>
  <si>
    <t>ETS engineering fees for dam and storm water management</t>
  </si>
  <si>
    <t>28% WHT and VAT on ETS design work (above)</t>
  </si>
  <si>
    <t>TOTAL FOR TA5</t>
  </si>
  <si>
    <t>Should be 1,015K</t>
  </si>
  <si>
    <t>Should be $3,865,000</t>
  </si>
  <si>
    <t>Should be</t>
  </si>
  <si>
    <t>DIFFERENCE</t>
  </si>
  <si>
    <t>Original TMG Co-Spend</t>
  </si>
  <si>
    <t>Revised TMG Co-spend</t>
  </si>
  <si>
    <t>Mobilization Payment
Jun 24</t>
  </si>
  <si>
    <t>MP 1
Aug 24</t>
  </si>
  <si>
    <t>MP 2
Jan 25</t>
  </si>
  <si>
    <t>MP2 Add
Apr 25</t>
  </si>
  <si>
    <t>MP 3
Oct 25</t>
  </si>
  <si>
    <t>MP 4
Feb 26</t>
  </si>
  <si>
    <t>MP 5
May 26</t>
  </si>
  <si>
    <t>MP 6
Sep 26</t>
  </si>
  <si>
    <t>Actual Co-Spend</t>
  </si>
  <si>
    <t>Actual DFC Spend</t>
  </si>
  <si>
    <t xml:space="preserve">% completion DFC Quarterly Meeting </t>
  </si>
  <si>
    <t>MOB, MP 2</t>
  </si>
  <si>
    <t>MP 2 Add</t>
  </si>
  <si>
    <r>
      <t xml:space="preserve">MP </t>
    </r>
    <r>
      <rPr>
        <sz val="11"/>
        <color rgb="FFEE0000"/>
        <rFont val="Aptos Narrow"/>
        <family val="2"/>
        <scheme val="minor"/>
      </rPr>
      <t>4</t>
    </r>
  </si>
  <si>
    <t>25% of Project budget : Internal Trinity HR training staff salaries, accommodation and transportation of trainees</t>
  </si>
  <si>
    <t>Training meals and drinks</t>
  </si>
  <si>
    <t>Overseas and in-country training sponsorships of Trinity staff</t>
  </si>
  <si>
    <t>MP 2Add</t>
  </si>
  <si>
    <t xml:space="preserve">Geotechnical engineering/structural analyses for underground workings and tailings/waste piles and dams.  </t>
  </si>
  <si>
    <t xml:space="preserve">2.3.1. Geotechnical/Engineering Structure Reports for all the mines </t>
  </si>
  <si>
    <t>2.3.2. Additional quarterly geotechnical/engineering structure reports for all the mines</t>
  </si>
  <si>
    <t>In progress (Nyakabingo completed)</t>
  </si>
  <si>
    <r>
      <t>MP</t>
    </r>
    <r>
      <rPr>
        <sz val="11"/>
        <color rgb="FFFF0000"/>
        <rFont val="Aptos Narrow"/>
        <family val="2"/>
        <scheme val="minor"/>
      </rPr>
      <t xml:space="preserve"> 3</t>
    </r>
  </si>
  <si>
    <t>JLD &amp; tbc</t>
  </si>
  <si>
    <r>
      <t xml:space="preserve">MP </t>
    </r>
    <r>
      <rPr>
        <sz val="11"/>
        <color rgb="FFFF0000"/>
        <rFont val="Aptos Narrow"/>
        <family val="2"/>
        <scheme val="minor"/>
      </rPr>
      <t>6</t>
    </r>
  </si>
  <si>
    <r>
      <t>MP</t>
    </r>
    <r>
      <rPr>
        <sz val="11"/>
        <color rgb="FFFF0000"/>
        <rFont val="Aptos Narrow"/>
        <family val="2"/>
        <scheme val="minor"/>
      </rPr>
      <t xml:space="preserve"> 6</t>
    </r>
  </si>
  <si>
    <t>25% of Project Budget: Gerrit's salary, HSE Staff salaries, and First Responder salaries</t>
  </si>
  <si>
    <t>Void Fill to stabilize ground conditions in tunnels</t>
  </si>
  <si>
    <t>Ground water test kits</t>
  </si>
  <si>
    <t>Safety Training Materials</t>
  </si>
  <si>
    <t>Gas detectors, training and callibration</t>
  </si>
  <si>
    <t xml:space="preserve">3.1.1. Detailed SOW, R&amp;R and Programme for the CDPs </t>
  </si>
  <si>
    <t xml:space="preserve">3.1.2. CDP Inception Report </t>
  </si>
  <si>
    <r>
      <t xml:space="preserve">TB / JK/ MB / </t>
    </r>
    <r>
      <rPr>
        <sz val="11"/>
        <color rgb="FFFF0000"/>
        <rFont val="Aptos Narrow"/>
        <family val="2"/>
        <scheme val="minor"/>
      </rPr>
      <t>CA</t>
    </r>
  </si>
  <si>
    <t>Ganza Green/Light Image</t>
  </si>
  <si>
    <r>
      <t>3.3.2.</t>
    </r>
    <r>
      <rPr>
        <sz val="11"/>
        <color rgb="FFEE0000"/>
        <rFont val="Aptos Narrow"/>
        <family val="2"/>
        <scheme val="minor"/>
      </rPr>
      <t>Draft landuse maps</t>
    </r>
    <r>
      <rPr>
        <sz val="11"/>
        <rFont val="Aptos Narrow"/>
        <family val="2"/>
        <scheme val="minor"/>
      </rPr>
      <t xml:space="preserve"> </t>
    </r>
    <r>
      <rPr>
        <sz val="11"/>
        <color rgb="FFEE0000"/>
        <rFont val="Aptos Narrow"/>
        <family val="2"/>
        <scheme val="minor"/>
      </rPr>
      <t>(GIS mapping, lidar surveys, satellite imagery, elevation data, etc)</t>
    </r>
  </si>
  <si>
    <r>
      <t>MP</t>
    </r>
    <r>
      <rPr>
        <sz val="11"/>
        <color rgb="FFFF0000"/>
        <rFont val="Aptos Narrow"/>
        <family val="2"/>
        <scheme val="minor"/>
      </rPr>
      <t xml:space="preserve"> 4</t>
    </r>
  </si>
  <si>
    <r>
      <t>3.3</t>
    </r>
    <r>
      <rPr>
        <sz val="11"/>
        <color rgb="FFEE0000"/>
        <rFont val="Aptos Narrow"/>
        <family val="2"/>
        <scheme val="minor"/>
      </rPr>
      <t>.3</t>
    </r>
    <r>
      <rPr>
        <sz val="11"/>
        <rFont val="Aptos Narrow"/>
        <family val="2"/>
        <scheme val="minor"/>
      </rPr>
      <t xml:space="preserve">. Detailed landuse maps for each of the concessions </t>
    </r>
    <r>
      <rPr>
        <sz val="11"/>
        <color rgb="FFEE0000"/>
        <rFont val="Aptos Narrow"/>
        <family val="2"/>
        <scheme val="minor"/>
      </rPr>
      <t>(GIS mapping, lidar surveys, satellite imagery, elevation data, etc)</t>
    </r>
  </si>
  <si>
    <r>
      <t>3.3.</t>
    </r>
    <r>
      <rPr>
        <sz val="11"/>
        <color rgb="FFEE0000"/>
        <rFont val="Aptos Narrow"/>
        <family val="2"/>
        <scheme val="minor"/>
      </rPr>
      <t>4</t>
    </r>
    <r>
      <rPr>
        <sz val="11"/>
        <rFont val="Aptos Narrow"/>
        <family val="2"/>
        <scheme val="minor"/>
      </rPr>
      <t>. Final Status Quo Reports</t>
    </r>
  </si>
  <si>
    <r>
      <t xml:space="preserve">TB / JK / MB </t>
    </r>
    <r>
      <rPr>
        <sz val="11"/>
        <color rgb="FFFF0000"/>
        <rFont val="Aptos Narrow"/>
        <family val="2"/>
        <scheme val="minor"/>
      </rPr>
      <t>/ CA</t>
    </r>
  </si>
  <si>
    <r>
      <t xml:space="preserve">TB / JK / MB / </t>
    </r>
    <r>
      <rPr>
        <sz val="11"/>
        <color rgb="FFFF0000"/>
        <rFont val="Aptos Narrow"/>
        <family val="2"/>
        <scheme val="minor"/>
      </rPr>
      <t>CA</t>
    </r>
  </si>
  <si>
    <r>
      <t xml:space="preserve">MP </t>
    </r>
    <r>
      <rPr>
        <sz val="11"/>
        <color rgb="FFFF0000"/>
        <rFont val="Aptos Narrow"/>
        <family val="2"/>
        <scheme val="minor"/>
      </rPr>
      <t>5</t>
    </r>
  </si>
  <si>
    <t xml:space="preserve">TB / JK / MB </t>
  </si>
  <si>
    <r>
      <t>MP</t>
    </r>
    <r>
      <rPr>
        <sz val="11"/>
        <color rgb="FFFF0000"/>
        <rFont val="Aptos Narrow"/>
        <family val="2"/>
        <scheme val="minor"/>
      </rPr>
      <t xml:space="preserve"> 5</t>
    </r>
  </si>
  <si>
    <t>TB/ JLD / MB</t>
  </si>
  <si>
    <t>CDP (LED) implementation planning and partnerships for key projects.</t>
  </si>
  <si>
    <t>3.11.1. CDP (LED) Project Plans</t>
  </si>
  <si>
    <t>PCV / CA</t>
  </si>
  <si>
    <t>3.11.2 CDP (LED) Pilot projects</t>
  </si>
  <si>
    <t>In-kind: 25% of Project budget : CLO salaries, Casual staff salaries</t>
  </si>
  <si>
    <t>Taxes WHT and VAT (28% of consultant fees)</t>
  </si>
  <si>
    <r>
      <rPr>
        <i/>
        <sz val="11"/>
        <color rgb="FFFF0000"/>
        <rFont val="Aptos Narrow"/>
        <family val="2"/>
        <scheme val="minor"/>
      </rPr>
      <t>Techmet Support of</t>
    </r>
    <r>
      <rPr>
        <i/>
        <sz val="11"/>
        <rFont val="Aptos Narrow"/>
        <family val="2"/>
        <scheme val="minor"/>
      </rPr>
      <t xml:space="preserve"> Corps Africa Volunteers</t>
    </r>
  </si>
  <si>
    <r>
      <rPr>
        <i/>
        <sz val="11"/>
        <color rgb="FFEE0000"/>
        <rFont val="Aptos Narrow"/>
        <family val="2"/>
        <scheme val="minor"/>
      </rPr>
      <t xml:space="preserve">Techmet support of </t>
    </r>
    <r>
      <rPr>
        <i/>
        <sz val="11"/>
        <rFont val="Aptos Narrow"/>
        <family val="2"/>
        <scheme val="minor"/>
      </rPr>
      <t>SRA review of land acquisiiton processes and requirements and alignment to PS5</t>
    </r>
  </si>
  <si>
    <r>
      <rPr>
        <i/>
        <sz val="11"/>
        <color rgb="FFEE0000"/>
        <rFont val="Aptos Narrow"/>
        <family val="2"/>
        <scheme val="minor"/>
      </rPr>
      <t xml:space="preserve">Techmet support of </t>
    </r>
    <r>
      <rPr>
        <i/>
        <sz val="11"/>
        <rFont val="Aptos Narrow"/>
        <family val="2"/>
        <scheme val="minor"/>
      </rPr>
      <t>Construction of ECD Centre in Nyakabingo</t>
    </r>
  </si>
  <si>
    <r>
      <rPr>
        <i/>
        <sz val="11"/>
        <color rgb="FFEE0000"/>
        <rFont val="Aptos Narrow"/>
        <family val="2"/>
        <scheme val="minor"/>
      </rPr>
      <t xml:space="preserve">Techmet support of </t>
    </r>
    <r>
      <rPr>
        <i/>
        <sz val="11"/>
        <rFont val="Aptos Narrow"/>
        <family val="2"/>
        <scheme val="minor"/>
      </rPr>
      <t>ECDC Management in Nyakabingo (Strong Families)</t>
    </r>
  </si>
  <si>
    <t>ECDC Management in Rutongo (Strong Families)</t>
  </si>
  <si>
    <t>Martina Bennett TA grant management support</t>
  </si>
  <si>
    <t>Nyakabingo bus station</t>
  </si>
  <si>
    <r>
      <t>MP</t>
    </r>
    <r>
      <rPr>
        <sz val="11"/>
        <color rgb="FFEE0000"/>
        <rFont val="Aptos Narrow"/>
        <family val="2"/>
        <scheme val="minor"/>
      </rPr>
      <t xml:space="preserve"> 5</t>
    </r>
  </si>
  <si>
    <t>completed</t>
  </si>
  <si>
    <r>
      <t>4.2.4. Geochem Assessment (waste materials and sediments)</t>
    </r>
    <r>
      <rPr>
        <sz val="11"/>
        <color rgb="FFFF0000"/>
        <rFont val="Aptos Narrow"/>
        <family val="2"/>
        <scheme val="minor"/>
      </rPr>
      <t xml:space="preserve"> - Field Work Report</t>
    </r>
  </si>
  <si>
    <r>
      <t>4.2.</t>
    </r>
    <r>
      <rPr>
        <sz val="11"/>
        <color rgb="FFFF0000"/>
        <rFont val="Aptos Narrow"/>
        <family val="2"/>
        <scheme val="minor"/>
      </rPr>
      <t>5</t>
    </r>
    <r>
      <rPr>
        <sz val="11"/>
        <rFont val="Aptos Narrow"/>
        <family val="2"/>
        <scheme val="minor"/>
      </rPr>
      <t>. Geochem Assessment (waste materials and sediments) - Final Report</t>
    </r>
  </si>
  <si>
    <r>
      <t>4.3.1. Determination of the PES of all the river systems</t>
    </r>
    <r>
      <rPr>
        <sz val="11"/>
        <color rgb="FFEE0000"/>
        <rFont val="Aptos Narrow"/>
        <family val="2"/>
        <scheme val="minor"/>
      </rPr>
      <t xml:space="preserve"> - Field Work Report</t>
    </r>
  </si>
  <si>
    <r>
      <t>MP</t>
    </r>
    <r>
      <rPr>
        <sz val="11"/>
        <color rgb="FFEE0000"/>
        <rFont val="Aptos Narrow"/>
        <family val="2"/>
        <scheme val="minor"/>
      </rPr>
      <t xml:space="preserve"> 4</t>
    </r>
  </si>
  <si>
    <t>4.3.2. Determination of the PES of all the river systems - Final Technical Report</t>
  </si>
  <si>
    <r>
      <t xml:space="preserve">4.5.1. Catchment hydrological models </t>
    </r>
    <r>
      <rPr>
        <sz val="11"/>
        <color rgb="FFEE0000"/>
        <rFont val="Aptos Narrow"/>
        <family val="2"/>
        <scheme val="minor"/>
      </rPr>
      <t>- Field Work Report</t>
    </r>
  </si>
  <si>
    <r>
      <t>MP</t>
    </r>
    <r>
      <rPr>
        <sz val="11"/>
        <color rgb="FFEE0000"/>
        <rFont val="Aptos Narrow"/>
        <family val="2"/>
        <scheme val="minor"/>
      </rPr>
      <t xml:space="preserve"> 3</t>
    </r>
  </si>
  <si>
    <t>4.5.2. Catchment hydrological models - Final Technical Report</t>
  </si>
  <si>
    <r>
      <t>4.6.1. Flood line Determination</t>
    </r>
    <r>
      <rPr>
        <sz val="11"/>
        <color rgb="FFEE0000"/>
        <rFont val="Aptos Narrow"/>
        <family val="2"/>
        <scheme val="minor"/>
      </rPr>
      <t xml:space="preserve"> Fieldwork</t>
    </r>
    <r>
      <rPr>
        <sz val="11"/>
        <rFont val="Aptos Narrow"/>
        <family val="2"/>
        <scheme val="minor"/>
      </rPr>
      <t xml:space="preserve"> Report</t>
    </r>
  </si>
  <si>
    <r>
      <t xml:space="preserve">MP </t>
    </r>
    <r>
      <rPr>
        <sz val="11"/>
        <color rgb="FFEE0000"/>
        <rFont val="Aptos Narrow"/>
        <family val="2"/>
        <scheme val="minor"/>
      </rPr>
      <t>3</t>
    </r>
  </si>
  <si>
    <t>4.6.2. Flood line Determination Final Technical Report</t>
  </si>
  <si>
    <r>
      <t xml:space="preserve">MP </t>
    </r>
    <r>
      <rPr>
        <sz val="11"/>
        <color rgb="FFEE0000"/>
        <rFont val="Aptos Narrow"/>
        <family val="2"/>
        <scheme val="minor"/>
      </rPr>
      <t>5</t>
    </r>
  </si>
  <si>
    <t>Reviewing water quality monitoring protocols including the development of an online water quality monitoring database and dashboard.</t>
  </si>
  <si>
    <t>4.8.1. Water quality monitoring database and dashboard, incorporating existing and future data</t>
  </si>
  <si>
    <t>JLD</t>
  </si>
  <si>
    <t>4.9.1. Gap Analysis Report</t>
  </si>
  <si>
    <t>4.10.1. Additional studies as recommended by DFC to address gaps identified in Phase 1 of this activity.</t>
  </si>
  <si>
    <t>ETS / GT / ETEK</t>
  </si>
  <si>
    <t xml:space="preserve">4.11.1. Legacy Tailings management and recovery feasibility study reports for each mine / mining area. </t>
  </si>
  <si>
    <r>
      <t>MP</t>
    </r>
    <r>
      <rPr>
        <sz val="11"/>
        <color rgb="FFEE0000"/>
        <rFont val="Aptos Narrow"/>
        <family val="2"/>
        <scheme val="minor"/>
      </rPr>
      <t xml:space="preserve"> 6</t>
    </r>
  </si>
  <si>
    <t>ETS / GT / tbd</t>
  </si>
  <si>
    <t xml:space="preserve">4.12.1. River rehabilitation scenario modelling </t>
  </si>
  <si>
    <t xml:space="preserve">ETS / GT </t>
  </si>
  <si>
    <t>4.13.1. Integrated Tailings Management and River Rehabilitation Plan and Programme for each Concession</t>
  </si>
  <si>
    <t>Pilot project on legacy tailings and river rehabilitation</t>
  </si>
  <si>
    <t>JLD / GT / PCV</t>
  </si>
  <si>
    <t>4.14.1. Project plan and designs for pilot project on legacy tailings and river rehab</t>
  </si>
  <si>
    <t xml:space="preserve">JLD / GT / PCV </t>
  </si>
  <si>
    <t>4.14.2. Report on pilot project on legacy tailings and river rehab</t>
  </si>
  <si>
    <t>25% of Project budget : In kind: Geologists, Geotech Engineers salaries</t>
  </si>
  <si>
    <t>Consulting fees from Tailings Engineers (TAILINGS SOLUTIONS) for the conceptual designs of engineered and GIIP-compliant tailings facilities</t>
  </si>
  <si>
    <t>Taxes WHT and VAT (28% on TA4 consultant fees)</t>
  </si>
  <si>
    <t>Physical rehabiliation work at Karambo mine (Rutongo Mine)</t>
  </si>
  <si>
    <t>Additional consulting fees from Mining and Resource Consultants (Bara &amp; GB)</t>
  </si>
  <si>
    <t>MP 1 &amp; MOB</t>
  </si>
  <si>
    <t>5.1.6. ESIA and ESMP - Nyakabingo Mine</t>
  </si>
  <si>
    <t>MP 2 &amp; MOB</t>
  </si>
  <si>
    <t>5.1.7. Revised Final ESIAs in response to comments</t>
  </si>
  <si>
    <t>Mine rehabilitation and closure quantification</t>
  </si>
  <si>
    <t>ETEK</t>
  </si>
  <si>
    <t>5.2.1. Mine Rehabilitation and closure quantification report for each mine</t>
  </si>
  <si>
    <t>Long-term surface and ground water monitoring</t>
  </si>
  <si>
    <t>1&amp;2</t>
  </si>
  <si>
    <t>Talbot</t>
  </si>
  <si>
    <t>5.3.1. Monthly water monitoring result reports</t>
  </si>
  <si>
    <t>MP 3,4&amp;5</t>
  </si>
  <si>
    <t>JD</t>
  </si>
  <si>
    <t>MP 3&amp;4</t>
  </si>
  <si>
    <t>5.3.1. Additional specialist reports to address gaps</t>
  </si>
  <si>
    <t>MP 5 &amp; MP 6</t>
  </si>
  <si>
    <t xml:space="preserve">25% of the Project Budget: E&amp;S Staff salaries </t>
  </si>
  <si>
    <r>
      <t xml:space="preserve">Taxes  WHT and VAT(28% of </t>
    </r>
    <r>
      <rPr>
        <i/>
        <sz val="11"/>
        <color rgb="FFEE0000"/>
        <rFont val="Aptos Narrow"/>
        <family val="2"/>
        <scheme val="minor"/>
      </rPr>
      <t>TA5</t>
    </r>
    <r>
      <rPr>
        <i/>
        <sz val="11"/>
        <rFont val="Aptos Narrow"/>
        <family val="2"/>
        <scheme val="minor"/>
      </rPr>
      <t xml:space="preserve"> consulting fees)</t>
    </r>
  </si>
  <si>
    <t>Water, Air quality, noise monitoring  and reporting (18 months) (Talbot)</t>
  </si>
  <si>
    <t>Water treatment plant construction</t>
  </si>
  <si>
    <t>Annual large data room subscription</t>
  </si>
  <si>
    <t xml:space="preserve"> In kind contributions: Salaries of Trinity employees who support the implementation of TA activities (max 25% of TA budget)</t>
  </si>
  <si>
    <t>Need salary amounts for June 2024-Sept 2026 for:</t>
  </si>
  <si>
    <t>Sam</t>
  </si>
  <si>
    <t>Gerrit</t>
  </si>
  <si>
    <t>SHEC Superintendents and Officers</t>
  </si>
  <si>
    <t>Geotech Engineers</t>
  </si>
  <si>
    <t>Geologists (partial)</t>
  </si>
  <si>
    <t>MRM staff (partial)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</si>
</sst>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25"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b/>
      <i/>
      <sz val="11"/>
      <color theme="1"/>
      <name val="Aptos Narrow"/>
      <family val="2"/>
      <scheme val="minor"/>
    </font>
    <font>
      <sz val="11"/>
      <name val="Aptos Narrow"/>
      <family val="2"/>
      <scheme val="minor"/>
    </font>
    <font>
      <b/>
      <sz val="11"/>
      <color rgb="FFFF0000"/>
      <name val="Aptos Narrow"/>
      <family val="2"/>
      <scheme val="minor"/>
    </font>
    <font>
      <sz val="11"/>
      <color rgb="FFFF0000"/>
      <name val="Aptos Narrow"/>
      <family val="2"/>
      <scheme val="minor"/>
    </font>
    <font>
      <b/>
      <sz val="11"/>
      <name val="Aptos Narrow"/>
      <family val="2"/>
      <scheme val="minor"/>
    </font>
    <font>
      <strike/>
      <sz val="11"/>
      <color rgb="FFFF0000"/>
      <name val="Aptos Narrow"/>
      <family val="2"/>
      <scheme val="minor"/>
    </font>
    <font>
      <sz val="11"/>
      <color theme="1"/>
      <name val="Aptos Narrow"/>
      <family val="2"/>
      <scheme val="minor"/>
    </font>
    <font>
      <b/>
      <i/>
      <sz val="11"/>
      <name val="Aptos Narrow"/>
      <family val="2"/>
      <scheme val="minor"/>
    </font>
    <font>
      <i/>
      <sz val="11"/>
      <name val="Aptos Narrow"/>
      <family val="2"/>
      <scheme val="minor"/>
    </font>
    <font>
      <b/>
      <strike/>
      <sz val="11"/>
      <name val="Aptos Narrow"/>
      <family val="2"/>
      <scheme val="minor"/>
    </font>
    <font>
      <strike/>
      <sz val="11"/>
      <name val="Aptos Narrow"/>
      <family val="2"/>
      <scheme val="minor"/>
    </font>
    <font>
      <sz val="10"/>
      <color rgb="FF000000"/>
      <name val="Aptos Narrow"/>
      <family val="2"/>
      <scheme val="minor"/>
    </font>
    <font>
      <sz val="11"/>
      <color rgb="FF7030A0"/>
      <name val="Aptos Narrow"/>
      <family val="2"/>
      <scheme val="minor"/>
    </font>
    <font>
      <b/>
      <i/>
      <sz val="11"/>
      <color rgb="FFEE0000"/>
      <name val="Aptos Narrow"/>
      <family val="2"/>
      <scheme val="minor"/>
    </font>
    <font>
      <i/>
      <sz val="11"/>
      <color rgb="FFEE0000"/>
      <name val="Aptos Narrow"/>
      <family val="2"/>
      <scheme val="minor"/>
    </font>
    <font>
      <sz val="11"/>
      <color rgb="FFEE0000"/>
      <name val="Aptos Narrow"/>
      <family val="2"/>
      <scheme val="minor"/>
    </font>
    <font>
      <b/>
      <sz val="11"/>
      <color rgb="FFEE0000"/>
      <name val="Aptos Narrow"/>
      <family val="2"/>
      <scheme val="minor"/>
    </font>
    <font>
      <i/>
      <sz val="11"/>
      <color rgb="FFFF0000"/>
      <name val="Aptos Narrow"/>
      <family val="2"/>
      <scheme val="minor"/>
    </font>
    <font>
      <b/>
      <i/>
      <sz val="11"/>
      <color rgb="FFFF0000"/>
      <name val="Aptos Narrow"/>
      <family val="2"/>
      <scheme val="minor"/>
    </font>
    <font>
      <i/>
      <strike/>
      <sz val="11"/>
      <color theme="1"/>
      <name val="Aptos Narrow"/>
      <family val="2"/>
      <scheme val="minor"/>
    </font>
    <font>
      <b/>
      <sz val="11"/>
      <color theme="7"/>
      <name val="Aptos Narrow"/>
      <family val="2"/>
      <scheme val="minor"/>
    </font>
  </fonts>
  <fills count="1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3" tint="0.499984740745262"/>
        <bgColor indexed="64"/>
      </patternFill>
    </fill>
    <fill>
      <patternFill patternType="solid">
        <fgColor rgb="FFFFC000"/>
        <bgColor indexed="64"/>
      </patternFill>
    </fill>
    <fill>
      <patternFill patternType="solid">
        <fgColor rgb="FFFFE6B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rgb="FFFFF5E1"/>
        <bgColor indexed="64"/>
      </patternFill>
    </fill>
    <fill>
      <patternFill patternType="solid">
        <fgColor rgb="FFFDF2ED"/>
        <bgColor indexed="64"/>
      </patternFill>
    </fill>
    <fill>
      <patternFill patternType="solid">
        <fgColor rgb="FFFFFFBD"/>
        <bgColor indexed="64"/>
      </patternFill>
    </fill>
    <fill>
      <patternFill patternType="solid">
        <fgColor rgb="FFFFFFE7"/>
        <bgColor indexed="64"/>
      </patternFill>
    </fill>
    <fill>
      <patternFill patternType="solid">
        <fgColor theme="0" tint="-0.14999847407452621"/>
        <bgColor indexed="64"/>
      </patternFill>
    </fill>
    <fill>
      <patternFill patternType="solid">
        <fgColor theme="9"/>
        <bgColor indexed="64"/>
      </patternFill>
    </fill>
    <fill>
      <patternFill patternType="solid">
        <fgColor theme="8" tint="0.39997558519241921"/>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s>
  <cellStyleXfs count="4">
    <xf numFmtId="0" fontId="0" fillId="0" borderId="0"/>
    <xf numFmtId="44" fontId="10" fillId="0" borderId="0" applyFont="0" applyFill="0" applyBorder="0" applyAlignment="0" applyProtection="0"/>
    <xf numFmtId="43" fontId="10" fillId="0" borderId="0" applyFont="0" applyFill="0" applyBorder="0" applyAlignment="0" applyProtection="0"/>
    <xf numFmtId="0" fontId="15" fillId="0" borderId="0"/>
  </cellStyleXfs>
  <cellXfs count="73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0" fillId="4" borderId="1" xfId="0" applyFill="1" applyBorder="1" applyAlignment="1">
      <alignment horizontal="center" vertical="center"/>
    </xf>
    <xf numFmtId="0" fontId="0" fillId="3" borderId="1" xfId="0" applyFill="1" applyBorder="1" applyAlignment="1">
      <alignment horizontal="center" vertical="center"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wrapText="1"/>
    </xf>
    <xf numFmtId="0" fontId="0" fillId="7" borderId="1" xfId="0" applyFill="1" applyBorder="1" applyAlignment="1">
      <alignment horizontal="center" vertical="center"/>
    </xf>
    <xf numFmtId="0" fontId="1" fillId="5" borderId="2" xfId="0" applyFont="1" applyFill="1" applyBorder="1" applyAlignment="1">
      <alignment horizontal="center" vertical="center" wrapText="1"/>
    </xf>
    <xf numFmtId="0" fontId="1" fillId="6" borderId="2" xfId="0" applyFont="1" applyFill="1" applyBorder="1"/>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applyAlignment="1">
      <alignment wrapText="1"/>
    </xf>
    <xf numFmtId="0" fontId="1" fillId="9" borderId="1" xfId="0" applyFont="1" applyFill="1" applyBorder="1" applyAlignment="1">
      <alignment horizontal="center" vertical="center" wrapText="1"/>
    </xf>
    <xf numFmtId="0" fontId="1" fillId="9" borderId="1" xfId="0" applyFont="1" applyFill="1" applyBorder="1" applyAlignment="1">
      <alignment wrapText="1"/>
    </xf>
    <xf numFmtId="0" fontId="1" fillId="8" borderId="2" xfId="0" applyFont="1" applyFill="1" applyBorder="1" applyAlignment="1">
      <alignment horizontal="right" vertical="center" wrapText="1"/>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wrapText="1"/>
    </xf>
    <xf numFmtId="0" fontId="0" fillId="4" borderId="1" xfId="0" applyFill="1" applyBorder="1" applyAlignment="1">
      <alignment vertical="center" wrapText="1"/>
    </xf>
    <xf numFmtId="3" fontId="0" fillId="4" borderId="3" xfId="0" applyNumberFormat="1" applyFill="1" applyBorder="1" applyAlignment="1">
      <alignment horizontal="right" vertical="center" wrapText="1"/>
    </xf>
    <xf numFmtId="3" fontId="1" fillId="3" borderId="3" xfId="0" applyNumberFormat="1" applyFont="1" applyFill="1" applyBorder="1" applyAlignment="1">
      <alignment horizontal="right" vertical="center" wrapText="1"/>
    </xf>
    <xf numFmtId="3" fontId="1" fillId="3" borderId="8" xfId="0" applyNumberFormat="1" applyFont="1" applyFill="1" applyBorder="1"/>
    <xf numFmtId="3" fontId="1" fillId="3" borderId="1" xfId="0" applyNumberFormat="1" applyFont="1" applyFill="1" applyBorder="1"/>
    <xf numFmtId="3" fontId="1" fillId="3" borderId="3" xfId="0" applyNumberFormat="1" applyFont="1" applyFill="1" applyBorder="1"/>
    <xf numFmtId="3" fontId="1" fillId="5" borderId="4" xfId="0" applyNumberFormat="1" applyFont="1" applyFill="1" applyBorder="1" applyAlignment="1">
      <alignment horizontal="right" wrapText="1"/>
    </xf>
    <xf numFmtId="3" fontId="1" fillId="5" borderId="3" xfId="0" applyNumberFormat="1" applyFont="1" applyFill="1" applyBorder="1" applyAlignment="1">
      <alignment horizontal="right" vertical="center" wrapText="1"/>
    </xf>
    <xf numFmtId="3" fontId="1" fillId="5" borderId="8" xfId="0" applyNumberFormat="1" applyFont="1" applyFill="1" applyBorder="1" applyAlignment="1">
      <alignment horizontal="right" vertical="center" wrapText="1"/>
    </xf>
    <xf numFmtId="3" fontId="1" fillId="5" borderId="1" xfId="0" applyNumberFormat="1" applyFont="1" applyFill="1" applyBorder="1" applyAlignment="1">
      <alignment horizontal="right" vertical="center" wrapText="1"/>
    </xf>
    <xf numFmtId="3" fontId="1" fillId="6" borderId="4" xfId="0" applyNumberFormat="1" applyFont="1" applyFill="1" applyBorder="1" applyAlignment="1">
      <alignment horizontal="right" wrapText="1"/>
    </xf>
    <xf numFmtId="3" fontId="1" fillId="6" borderId="3" xfId="0" applyNumberFormat="1" applyFont="1" applyFill="1" applyBorder="1" applyAlignment="1">
      <alignment horizontal="right" vertical="center" wrapText="1"/>
    </xf>
    <xf numFmtId="3" fontId="0" fillId="6" borderId="8" xfId="0" applyNumberFormat="1" applyFill="1" applyBorder="1" applyAlignment="1">
      <alignment horizontal="right"/>
    </xf>
    <xf numFmtId="3" fontId="0" fillId="6" borderId="1" xfId="0" applyNumberFormat="1" applyFill="1" applyBorder="1" applyAlignment="1">
      <alignment horizontal="right"/>
    </xf>
    <xf numFmtId="3" fontId="0" fillId="6" borderId="3" xfId="0" applyNumberFormat="1" applyFill="1" applyBorder="1" applyAlignment="1">
      <alignment horizontal="right"/>
    </xf>
    <xf numFmtId="3" fontId="1" fillId="8" borderId="4" xfId="0" applyNumberFormat="1" applyFont="1" applyFill="1" applyBorder="1" applyAlignment="1">
      <alignment horizontal="right" wrapText="1"/>
    </xf>
    <xf numFmtId="3" fontId="1" fillId="8" borderId="3" xfId="0" applyNumberFormat="1" applyFont="1" applyFill="1" applyBorder="1" applyAlignment="1">
      <alignment horizontal="right" vertical="center" wrapText="1"/>
    </xf>
    <xf numFmtId="3" fontId="1" fillId="8" borderId="8" xfId="0" applyNumberFormat="1" applyFont="1" applyFill="1" applyBorder="1" applyAlignment="1">
      <alignment horizontal="right" vertical="center" wrapText="1"/>
    </xf>
    <xf numFmtId="3" fontId="1" fillId="8" borderId="1" xfId="0" applyNumberFormat="1" applyFont="1" applyFill="1" applyBorder="1" applyAlignment="1">
      <alignment horizontal="right" vertical="center" wrapText="1"/>
    </xf>
    <xf numFmtId="0" fontId="0" fillId="10" borderId="3" xfId="0" applyFill="1" applyBorder="1" applyAlignment="1">
      <alignment horizontal="left" vertical="center" wrapText="1"/>
    </xf>
    <xf numFmtId="0" fontId="0" fillId="10" borderId="3" xfId="0" applyFill="1" applyBorder="1" applyAlignment="1">
      <alignment horizontal="center" vertical="center" wrapText="1"/>
    </xf>
    <xf numFmtId="3" fontId="1" fillId="4" borderId="9" xfId="0" applyNumberFormat="1" applyFont="1" applyFill="1" applyBorder="1" applyAlignment="1">
      <alignment vertical="center" wrapText="1"/>
    </xf>
    <xf numFmtId="0" fontId="0" fillId="9" borderId="3" xfId="0" applyFill="1" applyBorder="1" applyAlignment="1">
      <alignment horizontal="left" vertical="center" wrapText="1"/>
    </xf>
    <xf numFmtId="0" fontId="0" fillId="9" borderId="3" xfId="0" applyFill="1" applyBorder="1" applyAlignment="1">
      <alignment horizontal="center" vertical="center" wrapText="1"/>
    </xf>
    <xf numFmtId="3" fontId="0" fillId="0" borderId="0" xfId="0" applyNumberFormat="1"/>
    <xf numFmtId="3" fontId="1" fillId="0" borderId="4" xfId="0" applyNumberFormat="1" applyFont="1" applyBorder="1" applyAlignment="1">
      <alignment horizontal="right" vertical="center" wrapText="1"/>
    </xf>
    <xf numFmtId="0" fontId="0" fillId="13" borderId="1" xfId="0" applyFill="1" applyBorder="1" applyAlignment="1">
      <alignment horizontal="center" vertical="center" wrapText="1"/>
    </xf>
    <xf numFmtId="0" fontId="0" fillId="13" borderId="1" xfId="0" applyFill="1" applyBorder="1" applyAlignment="1">
      <alignment wrapText="1"/>
    </xf>
    <xf numFmtId="0" fontId="0" fillId="13" borderId="1" xfId="0" applyFill="1" applyBorder="1" applyAlignment="1">
      <alignment horizontal="center" vertical="center"/>
    </xf>
    <xf numFmtId="0" fontId="1" fillId="13" borderId="1" xfId="0" applyFont="1" applyFill="1" applyBorder="1" applyAlignment="1">
      <alignment wrapText="1"/>
    </xf>
    <xf numFmtId="0" fontId="0" fillId="2" borderId="6" xfId="0" applyFill="1" applyBorder="1" applyAlignment="1">
      <alignment horizontal="center" vertical="center"/>
    </xf>
    <xf numFmtId="3" fontId="1" fillId="2" borderId="10" xfId="0" applyNumberFormat="1" applyFont="1" applyFill="1" applyBorder="1" applyAlignment="1">
      <alignment horizontal="right" vertical="center" wrapText="1"/>
    </xf>
    <xf numFmtId="3" fontId="1" fillId="2" borderId="13" xfId="0" applyNumberFormat="1" applyFont="1" applyFill="1" applyBorder="1" applyAlignment="1">
      <alignment horizontal="right" vertical="center" wrapText="1"/>
    </xf>
    <xf numFmtId="3" fontId="1" fillId="2" borderId="14"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0" fontId="0" fillId="0" borderId="3" xfId="0" applyBorder="1" applyAlignment="1">
      <alignment horizontal="center" vertical="center"/>
    </xf>
    <xf numFmtId="0" fontId="0" fillId="0" borderId="4" xfId="0" applyBorder="1" applyAlignment="1">
      <alignment wrapText="1"/>
    </xf>
    <xf numFmtId="0" fontId="0" fillId="0" borderId="4" xfId="0" applyBorder="1" applyAlignment="1">
      <alignment horizontal="center" vertical="center" wrapText="1"/>
    </xf>
    <xf numFmtId="0" fontId="0" fillId="0" borderId="4" xfId="0" applyBorder="1" applyAlignment="1">
      <alignment horizontal="center" vertical="center"/>
    </xf>
    <xf numFmtId="3" fontId="0" fillId="0" borderId="4" xfId="0" applyNumberFormat="1" applyBorder="1" applyAlignment="1">
      <alignment horizontal="right"/>
    </xf>
    <xf numFmtId="3" fontId="1" fillId="0" borderId="1" xfId="0" applyNumberFormat="1" applyFont="1" applyBorder="1" applyAlignment="1">
      <alignment horizontal="center" vertical="center" wrapText="1"/>
    </xf>
    <xf numFmtId="3" fontId="4" fillId="3" borderId="4" xfId="0" applyNumberFormat="1" applyFont="1" applyFill="1" applyBorder="1" applyAlignment="1">
      <alignment horizontal="right" vertical="center" wrapText="1"/>
    </xf>
    <xf numFmtId="3" fontId="4" fillId="4" borderId="3" xfId="0" applyNumberFormat="1" applyFont="1" applyFill="1" applyBorder="1" applyAlignment="1">
      <alignment vertical="center" wrapText="1"/>
    </xf>
    <xf numFmtId="0" fontId="0" fillId="7" borderId="3" xfId="0" applyFill="1" applyBorder="1" applyAlignment="1">
      <alignment horizontal="center" vertical="center" wrapText="1"/>
    </xf>
    <xf numFmtId="0" fontId="0" fillId="13" borderId="3" xfId="0" applyFill="1" applyBorder="1" applyAlignment="1">
      <alignment horizontal="center" vertical="center" wrapText="1"/>
    </xf>
    <xf numFmtId="3" fontId="0" fillId="0" borderId="8" xfId="0" applyNumberFormat="1" applyBorder="1"/>
    <xf numFmtId="3" fontId="0" fillId="0" borderId="1" xfId="0" applyNumberFormat="1" applyBorder="1"/>
    <xf numFmtId="3" fontId="0" fillId="0" borderId="3" xfId="0" applyNumberFormat="1" applyBorder="1"/>
    <xf numFmtId="3" fontId="0" fillId="0" borderId="8" xfId="0" applyNumberFormat="1" applyBorder="1" applyAlignment="1">
      <alignment horizontal="right" vertical="center"/>
    </xf>
    <xf numFmtId="3" fontId="0" fillId="0" borderId="1" xfId="0" applyNumberFormat="1" applyBorder="1" applyAlignment="1">
      <alignment horizontal="right" vertical="center"/>
    </xf>
    <xf numFmtId="3" fontId="0" fillId="0" borderId="3" xfId="0" applyNumberFormat="1" applyBorder="1" applyAlignment="1">
      <alignment horizontal="right" vertical="center"/>
    </xf>
    <xf numFmtId="0" fontId="1" fillId="15" borderId="1" xfId="0" applyFont="1" applyFill="1" applyBorder="1" applyAlignment="1">
      <alignment horizontal="center" vertical="center"/>
    </xf>
    <xf numFmtId="0" fontId="1" fillId="15" borderId="1" xfId="0" applyFont="1" applyFill="1" applyBorder="1" applyAlignment="1">
      <alignment vertical="center"/>
    </xf>
    <xf numFmtId="0" fontId="1" fillId="15" borderId="1" xfId="0" applyFont="1" applyFill="1" applyBorder="1" applyAlignment="1">
      <alignment horizontal="center" vertical="center" wrapText="1"/>
    </xf>
    <xf numFmtId="0" fontId="1" fillId="15" borderId="3" xfId="0" applyFont="1" applyFill="1" applyBorder="1" applyAlignment="1">
      <alignment horizontal="center" vertical="center" wrapText="1"/>
    </xf>
    <xf numFmtId="17" fontId="1" fillId="15" borderId="8" xfId="0" applyNumberFormat="1" applyFont="1" applyFill="1" applyBorder="1" applyAlignment="1">
      <alignment horizontal="center" vertical="center"/>
    </xf>
    <xf numFmtId="17" fontId="1" fillId="15" borderId="1" xfId="0" applyNumberFormat="1" applyFont="1" applyFill="1" applyBorder="1" applyAlignment="1">
      <alignment horizontal="center" vertical="center"/>
    </xf>
    <xf numFmtId="17" fontId="1" fillId="15" borderId="3" xfId="0" applyNumberFormat="1" applyFont="1" applyFill="1" applyBorder="1" applyAlignment="1">
      <alignment horizontal="center" vertical="center"/>
    </xf>
    <xf numFmtId="17" fontId="0" fillId="15" borderId="0" xfId="0" applyNumberFormat="1" applyFill="1" applyAlignment="1">
      <alignment vertical="center"/>
    </xf>
    <xf numFmtId="0" fontId="0" fillId="15" borderId="0" xfId="0" applyFill="1" applyAlignment="1">
      <alignment vertical="center"/>
    </xf>
    <xf numFmtId="0" fontId="0" fillId="4" borderId="3" xfId="0" applyFill="1" applyBorder="1" applyAlignment="1">
      <alignment horizontal="left" vertical="center" wrapText="1"/>
    </xf>
    <xf numFmtId="0" fontId="0" fillId="4" borderId="1" xfId="0" applyFill="1" applyBorder="1" applyAlignment="1">
      <alignment horizontal="left" vertical="center" wrapText="1"/>
    </xf>
    <xf numFmtId="0" fontId="0" fillId="10" borderId="1" xfId="0" applyFill="1" applyBorder="1" applyAlignment="1">
      <alignment vertical="center" wrapText="1"/>
    </xf>
    <xf numFmtId="0" fontId="0" fillId="7" borderId="3" xfId="0" applyFill="1" applyBorder="1" applyAlignment="1">
      <alignment horizontal="left" vertical="center" wrapText="1"/>
    </xf>
    <xf numFmtId="0" fontId="0" fillId="7" borderId="1" xfId="0" applyFill="1" applyBorder="1" applyAlignment="1">
      <alignment vertical="center" wrapText="1"/>
    </xf>
    <xf numFmtId="0" fontId="0" fillId="9" borderId="1" xfId="0" applyFill="1" applyBorder="1" applyAlignment="1">
      <alignment vertical="center" wrapText="1"/>
    </xf>
    <xf numFmtId="0" fontId="0" fillId="13" borderId="1" xfId="0" applyFill="1" applyBorder="1" applyAlignment="1">
      <alignment vertical="center" wrapText="1"/>
    </xf>
    <xf numFmtId="0" fontId="0" fillId="13" borderId="3" xfId="0" applyFill="1" applyBorder="1" applyAlignment="1">
      <alignment horizontal="left" vertical="center" wrapText="1"/>
    </xf>
    <xf numFmtId="3" fontId="4" fillId="4" borderId="3" xfId="0" applyNumberFormat="1" applyFont="1" applyFill="1" applyBorder="1" applyAlignment="1">
      <alignment horizontal="right" vertical="center" wrapText="1"/>
    </xf>
    <xf numFmtId="3" fontId="1" fillId="4" borderId="3" xfId="0" applyNumberFormat="1" applyFont="1" applyFill="1" applyBorder="1" applyAlignment="1">
      <alignment horizontal="right" vertical="center" wrapText="1"/>
    </xf>
    <xf numFmtId="3" fontId="4" fillId="4" borderId="1" xfId="0" applyNumberFormat="1" applyFont="1" applyFill="1" applyBorder="1" applyAlignment="1">
      <alignment vertical="center" wrapText="1"/>
    </xf>
    <xf numFmtId="3" fontId="4" fillId="10" borderId="3" xfId="0" applyNumberFormat="1" applyFont="1" applyFill="1" applyBorder="1" applyAlignment="1">
      <alignment horizontal="right" vertical="center" wrapText="1"/>
    </xf>
    <xf numFmtId="3" fontId="1" fillId="10" borderId="3" xfId="0" applyNumberFormat="1" applyFont="1" applyFill="1" applyBorder="1" applyAlignment="1">
      <alignment horizontal="right" vertical="center" wrapText="1"/>
    </xf>
    <xf numFmtId="3" fontId="4" fillId="10" borderId="4" xfId="0" applyNumberFormat="1" applyFont="1" applyFill="1" applyBorder="1" applyAlignment="1">
      <alignment horizontal="right" vertical="center" wrapText="1"/>
    </xf>
    <xf numFmtId="3" fontId="1" fillId="7" borderId="3" xfId="0" applyNumberFormat="1" applyFont="1" applyFill="1" applyBorder="1" applyAlignment="1">
      <alignment horizontal="center" vertical="center" wrapText="1"/>
    </xf>
    <xf numFmtId="3" fontId="1" fillId="7" borderId="3" xfId="0" applyNumberFormat="1" applyFont="1" applyFill="1" applyBorder="1" applyAlignment="1">
      <alignment horizontal="right" vertical="center" wrapText="1"/>
    </xf>
    <xf numFmtId="3" fontId="1" fillId="9" borderId="3" xfId="0" applyNumberFormat="1" applyFont="1" applyFill="1" applyBorder="1" applyAlignment="1">
      <alignment horizontal="center" vertical="center" wrapText="1"/>
    </xf>
    <xf numFmtId="3" fontId="1" fillId="9" borderId="3" xfId="0" applyNumberFormat="1" applyFont="1" applyFill="1" applyBorder="1" applyAlignment="1">
      <alignment horizontal="right" vertical="center" wrapText="1"/>
    </xf>
    <xf numFmtId="3" fontId="1" fillId="13" borderId="3" xfId="0" applyNumberFormat="1" applyFont="1" applyFill="1" applyBorder="1" applyAlignment="1">
      <alignment horizontal="right" vertical="center" wrapText="1"/>
    </xf>
    <xf numFmtId="3" fontId="1" fillId="0" borderId="4" xfId="0" applyNumberFormat="1" applyFont="1" applyBorder="1" applyAlignment="1">
      <alignment horizontal="center" vertical="center" wrapText="1"/>
    </xf>
    <xf numFmtId="3" fontId="1" fillId="4" borderId="8" xfId="0" applyNumberFormat="1" applyFont="1" applyFill="1" applyBorder="1"/>
    <xf numFmtId="3" fontId="1" fillId="0" borderId="1" xfId="0" applyNumberFormat="1" applyFont="1" applyBorder="1"/>
    <xf numFmtId="3" fontId="1" fillId="0" borderId="3" xfId="0" applyNumberFormat="1" applyFont="1" applyBorder="1"/>
    <xf numFmtId="3" fontId="1" fillId="0" borderId="8" xfId="0" applyNumberFormat="1" applyFont="1" applyBorder="1"/>
    <xf numFmtId="3" fontId="1" fillId="4" borderId="1" xfId="0" applyNumberFormat="1" applyFont="1" applyFill="1" applyBorder="1"/>
    <xf numFmtId="3" fontId="1" fillId="4" borderId="3" xfId="0" applyNumberFormat="1" applyFont="1" applyFill="1" applyBorder="1"/>
    <xf numFmtId="3" fontId="1" fillId="10" borderId="8" xfId="0" applyNumberFormat="1" applyFont="1" applyFill="1" applyBorder="1" applyAlignment="1">
      <alignment horizontal="right" vertical="center"/>
    </xf>
    <xf numFmtId="3" fontId="1" fillId="10" borderId="1" xfId="0" applyNumberFormat="1" applyFont="1" applyFill="1" applyBorder="1" applyAlignment="1">
      <alignment horizontal="right" vertical="center"/>
    </xf>
    <xf numFmtId="3" fontId="1" fillId="0" borderId="3" xfId="0" applyNumberFormat="1" applyFont="1" applyBorder="1" applyAlignment="1">
      <alignment horizontal="right" vertical="center"/>
    </xf>
    <xf numFmtId="3" fontId="1" fillId="0" borderId="8" xfId="0" applyNumberFormat="1" applyFont="1" applyBorder="1" applyAlignment="1">
      <alignment horizontal="right" vertical="center"/>
    </xf>
    <xf numFmtId="3" fontId="1" fillId="0" borderId="1" xfId="0" applyNumberFormat="1" applyFont="1" applyBorder="1" applyAlignment="1">
      <alignment horizontal="right" vertical="center"/>
    </xf>
    <xf numFmtId="3" fontId="1" fillId="10" borderId="3" xfId="0" applyNumberFormat="1" applyFont="1" applyFill="1" applyBorder="1" applyAlignment="1">
      <alignment horizontal="right" vertical="center"/>
    </xf>
    <xf numFmtId="0" fontId="1" fillId="10" borderId="8" xfId="0" applyFont="1" applyFill="1" applyBorder="1"/>
    <xf numFmtId="0" fontId="1" fillId="10" borderId="5" xfId="0" applyFont="1" applyFill="1" applyBorder="1"/>
    <xf numFmtId="0" fontId="1" fillId="10" borderId="9" xfId="0" applyFont="1" applyFill="1" applyBorder="1"/>
    <xf numFmtId="3" fontId="1" fillId="7" borderId="8" xfId="0" applyNumberFormat="1" applyFont="1" applyFill="1" applyBorder="1" applyAlignment="1">
      <alignment horizontal="right"/>
    </xf>
    <xf numFmtId="3" fontId="1" fillId="11" borderId="1" xfId="0" applyNumberFormat="1" applyFont="1" applyFill="1" applyBorder="1" applyAlignment="1">
      <alignment horizontal="right"/>
    </xf>
    <xf numFmtId="3" fontId="1" fillId="11" borderId="3" xfId="0" applyNumberFormat="1" applyFont="1" applyFill="1" applyBorder="1" applyAlignment="1">
      <alignment horizontal="right"/>
    </xf>
    <xf numFmtId="3" fontId="1" fillId="11" borderId="8" xfId="0" applyNumberFormat="1" applyFont="1" applyFill="1" applyBorder="1" applyAlignment="1">
      <alignment horizontal="right"/>
    </xf>
    <xf numFmtId="3" fontId="1" fillId="7" borderId="1" xfId="0" applyNumberFormat="1" applyFont="1" applyFill="1" applyBorder="1" applyAlignment="1">
      <alignment horizontal="right"/>
    </xf>
    <xf numFmtId="3" fontId="1" fillId="7" borderId="3" xfId="0" applyNumberFormat="1" applyFont="1" applyFill="1" applyBorder="1" applyAlignment="1">
      <alignment horizontal="right"/>
    </xf>
    <xf numFmtId="3" fontId="1" fillId="9" borderId="8" xfId="0" applyNumberFormat="1" applyFont="1" applyFill="1" applyBorder="1" applyAlignment="1">
      <alignment horizontal="right" vertical="center"/>
    </xf>
    <xf numFmtId="3" fontId="1" fillId="9" borderId="1" xfId="0" applyNumberFormat="1" applyFont="1" applyFill="1" applyBorder="1" applyAlignment="1">
      <alignment horizontal="right" vertical="center"/>
    </xf>
    <xf numFmtId="3" fontId="1" fillId="12" borderId="3" xfId="0" applyNumberFormat="1" applyFont="1" applyFill="1" applyBorder="1" applyAlignment="1">
      <alignment horizontal="right" vertical="center"/>
    </xf>
    <xf numFmtId="3" fontId="1" fillId="12" borderId="8" xfId="0" applyNumberFormat="1" applyFont="1" applyFill="1" applyBorder="1" applyAlignment="1">
      <alignment horizontal="right" vertical="center"/>
    </xf>
    <xf numFmtId="3" fontId="1" fillId="12" borderId="1" xfId="0" applyNumberFormat="1" applyFont="1" applyFill="1" applyBorder="1" applyAlignment="1">
      <alignment horizontal="right" vertical="center"/>
    </xf>
    <xf numFmtId="3" fontId="1" fillId="9" borderId="3" xfId="0" applyNumberFormat="1" applyFont="1" applyFill="1" applyBorder="1" applyAlignment="1">
      <alignment horizontal="right" vertical="center"/>
    </xf>
    <xf numFmtId="3" fontId="1" fillId="13" borderId="8" xfId="0" applyNumberFormat="1" applyFont="1" applyFill="1" applyBorder="1" applyAlignment="1">
      <alignment horizontal="right"/>
    </xf>
    <xf numFmtId="3" fontId="1" fillId="14" borderId="1" xfId="0" applyNumberFormat="1" applyFont="1" applyFill="1" applyBorder="1" applyAlignment="1">
      <alignment horizontal="right"/>
    </xf>
    <xf numFmtId="3" fontId="1" fillId="14" borderId="3" xfId="0" applyNumberFormat="1" applyFont="1" applyFill="1" applyBorder="1" applyAlignment="1">
      <alignment horizontal="right"/>
    </xf>
    <xf numFmtId="3" fontId="1" fillId="14" borderId="8" xfId="0" applyNumberFormat="1" applyFont="1" applyFill="1" applyBorder="1" applyAlignment="1">
      <alignment horizontal="right"/>
    </xf>
    <xf numFmtId="3" fontId="1" fillId="13" borderId="1" xfId="0" applyNumberFormat="1" applyFont="1" applyFill="1" applyBorder="1" applyAlignment="1">
      <alignment horizontal="right"/>
    </xf>
    <xf numFmtId="3" fontId="1" fillId="13" borderId="3" xfId="0" applyNumberFormat="1" applyFont="1" applyFill="1" applyBorder="1" applyAlignment="1">
      <alignment horizontal="right"/>
    </xf>
    <xf numFmtId="3" fontId="1" fillId="0" borderId="5"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xf numFmtId="0" fontId="0" fillId="7" borderId="3" xfId="0" applyFill="1" applyBorder="1" applyAlignment="1">
      <alignment vertical="center" wrapText="1"/>
    </xf>
    <xf numFmtId="3" fontId="1" fillId="4" borderId="3" xfId="0" applyNumberFormat="1" applyFont="1" applyFill="1" applyBorder="1" applyAlignment="1">
      <alignment horizontal="center" vertical="center" wrapText="1"/>
    </xf>
    <xf numFmtId="3" fontId="1" fillId="2" borderId="0" xfId="0" applyNumberFormat="1" applyFont="1" applyFill="1"/>
    <xf numFmtId="3" fontId="4" fillId="7" borderId="4" xfId="0" applyNumberFormat="1" applyFont="1" applyFill="1" applyBorder="1" applyAlignment="1">
      <alignment horizontal="right" vertical="center" wrapText="1"/>
    </xf>
    <xf numFmtId="3" fontId="4" fillId="9" borderId="4" xfId="0" applyNumberFormat="1" applyFont="1" applyFill="1" applyBorder="1" applyAlignment="1">
      <alignment horizontal="right" vertical="center" wrapText="1"/>
    </xf>
    <xf numFmtId="3" fontId="4" fillId="13" borderId="3" xfId="0" applyNumberFormat="1" applyFont="1" applyFill="1" applyBorder="1" applyAlignment="1">
      <alignment horizontal="right" vertical="center" wrapText="1"/>
    </xf>
    <xf numFmtId="0" fontId="5" fillId="10" borderId="3" xfId="0" applyFont="1" applyFill="1" applyBorder="1" applyAlignment="1">
      <alignment horizontal="center" vertical="center" wrapText="1"/>
    </xf>
    <xf numFmtId="0" fontId="1" fillId="15" borderId="4" xfId="0" applyFont="1" applyFill="1" applyBorder="1" applyAlignment="1">
      <alignment horizontal="center" vertical="center" wrapText="1"/>
    </xf>
    <xf numFmtId="0" fontId="1" fillId="0" borderId="0" xfId="0" applyFont="1"/>
    <xf numFmtId="3" fontId="1" fillId="4" borderId="0" xfId="0" applyNumberFormat="1" applyFont="1" applyFill="1" applyAlignment="1">
      <alignment horizontal="center" vertical="center" wrapText="1"/>
    </xf>
    <xf numFmtId="3" fontId="1" fillId="3" borderId="4" xfId="0" applyNumberFormat="1" applyFont="1" applyFill="1" applyBorder="1" applyAlignment="1">
      <alignment horizontal="center" vertical="center" wrapText="1"/>
    </xf>
    <xf numFmtId="3" fontId="0" fillId="4" borderId="4" xfId="0" applyNumberFormat="1" applyFill="1" applyBorder="1" applyAlignment="1">
      <alignment horizontal="center" vertical="center" wrapText="1"/>
    </xf>
    <xf numFmtId="3" fontId="0" fillId="4" borderId="11" xfId="0" applyNumberFormat="1" applyFill="1" applyBorder="1" applyAlignment="1">
      <alignment horizontal="center" vertical="center" wrapText="1"/>
    </xf>
    <xf numFmtId="3" fontId="0" fillId="4" borderId="0" xfId="0" applyNumberFormat="1" applyFill="1" applyAlignment="1">
      <alignment horizontal="center" vertical="center" wrapText="1"/>
    </xf>
    <xf numFmtId="3" fontId="6" fillId="4" borderId="3" xfId="0" applyNumberFormat="1" applyFont="1" applyFill="1" applyBorder="1" applyAlignment="1">
      <alignment horizontal="right" vertical="center" wrapText="1"/>
    </xf>
    <xf numFmtId="0" fontId="5" fillId="4" borderId="3" xfId="0" applyFont="1" applyFill="1" applyBorder="1" applyAlignment="1">
      <alignment horizontal="left" vertical="center" wrapText="1"/>
    </xf>
    <xf numFmtId="3" fontId="7" fillId="4" borderId="4" xfId="0" applyNumberFormat="1" applyFont="1" applyFill="1" applyBorder="1" applyAlignment="1">
      <alignment horizontal="center" vertical="center" wrapText="1"/>
    </xf>
    <xf numFmtId="3" fontId="8" fillId="4" borderId="3" xfId="0" applyNumberFormat="1" applyFont="1" applyFill="1" applyBorder="1" applyAlignment="1">
      <alignment horizontal="right" vertical="center" wrapText="1"/>
    </xf>
    <xf numFmtId="3" fontId="0" fillId="10" borderId="4" xfId="0" applyNumberFormat="1" applyFill="1" applyBorder="1" applyAlignment="1">
      <alignment horizontal="center" vertical="center" wrapText="1"/>
    </xf>
    <xf numFmtId="3" fontId="0" fillId="10" borderId="11" xfId="0" applyNumberFormat="1" applyFill="1" applyBorder="1" applyAlignment="1">
      <alignment horizontal="center" vertical="center" wrapText="1"/>
    </xf>
    <xf numFmtId="3" fontId="0" fillId="10" borderId="0" xfId="0" applyNumberFormat="1" applyFill="1" applyAlignment="1">
      <alignment horizontal="center" vertical="center" wrapText="1"/>
    </xf>
    <xf numFmtId="3" fontId="0" fillId="10" borderId="12" xfId="0" applyNumberFormat="1" applyFill="1" applyBorder="1" applyAlignment="1">
      <alignment horizontal="center" vertical="center" wrapText="1"/>
    </xf>
    <xf numFmtId="3" fontId="0" fillId="5" borderId="4" xfId="0" applyNumberFormat="1" applyFill="1" applyBorder="1" applyAlignment="1">
      <alignment horizontal="center" vertical="center" wrapText="1"/>
    </xf>
    <xf numFmtId="3" fontId="0" fillId="7" borderId="4" xfId="0" applyNumberFormat="1" applyFill="1" applyBorder="1" applyAlignment="1">
      <alignment horizontal="center" vertical="center" wrapText="1"/>
    </xf>
    <xf numFmtId="3" fontId="0" fillId="7" borderId="11" xfId="0" applyNumberFormat="1" applyFill="1" applyBorder="1" applyAlignment="1">
      <alignment horizontal="center" vertical="center" wrapText="1"/>
    </xf>
    <xf numFmtId="3" fontId="0" fillId="7" borderId="0" xfId="0" applyNumberFormat="1" applyFill="1" applyAlignment="1">
      <alignment horizontal="center" vertical="center" wrapText="1"/>
    </xf>
    <xf numFmtId="3" fontId="0" fillId="7" borderId="12" xfId="0" applyNumberFormat="1" applyFill="1" applyBorder="1" applyAlignment="1">
      <alignment horizontal="center" vertical="center" wrapText="1"/>
    </xf>
    <xf numFmtId="3" fontId="0" fillId="6" borderId="4" xfId="0" applyNumberFormat="1" applyFill="1" applyBorder="1" applyAlignment="1">
      <alignment horizontal="center" vertical="center" wrapText="1"/>
    </xf>
    <xf numFmtId="3" fontId="0" fillId="9" borderId="4" xfId="0" applyNumberFormat="1" applyFill="1" applyBorder="1" applyAlignment="1">
      <alignment horizontal="center" vertical="center" wrapText="1"/>
    </xf>
    <xf numFmtId="3" fontId="0" fillId="9" borderId="11" xfId="0" applyNumberFormat="1" applyFill="1" applyBorder="1" applyAlignment="1">
      <alignment horizontal="center" vertical="center" wrapText="1"/>
    </xf>
    <xf numFmtId="3" fontId="0" fillId="9" borderId="0" xfId="0" applyNumberFormat="1" applyFill="1" applyAlignment="1">
      <alignment horizontal="center" vertical="center" wrapText="1"/>
    </xf>
    <xf numFmtId="3" fontId="0" fillId="9" borderId="12" xfId="0" applyNumberFormat="1" applyFill="1" applyBorder="1" applyAlignment="1">
      <alignment horizontal="center" vertical="center" wrapText="1"/>
    </xf>
    <xf numFmtId="3" fontId="0" fillId="8" borderId="4" xfId="0" applyNumberFormat="1" applyFill="1" applyBorder="1" applyAlignment="1">
      <alignment horizontal="center" vertical="center" wrapText="1"/>
    </xf>
    <xf numFmtId="3" fontId="0" fillId="13" borderId="4" xfId="0" applyNumberFormat="1" applyFill="1" applyBorder="1" applyAlignment="1">
      <alignment horizontal="center" vertical="center" wrapText="1"/>
    </xf>
    <xf numFmtId="3" fontId="0" fillId="13" borderId="11" xfId="0" applyNumberFormat="1" applyFill="1" applyBorder="1" applyAlignment="1">
      <alignment horizontal="center" vertical="center" wrapText="1"/>
    </xf>
    <xf numFmtId="3" fontId="0" fillId="13" borderId="0" xfId="0" applyNumberFormat="1" applyFill="1" applyAlignment="1">
      <alignment horizontal="center" vertical="center" wrapText="1"/>
    </xf>
    <xf numFmtId="3" fontId="0" fillId="13" borderId="12" xfId="0" applyNumberFormat="1" applyFill="1" applyBorder="1" applyAlignment="1">
      <alignment horizontal="center" vertical="center" wrapText="1"/>
    </xf>
    <xf numFmtId="3" fontId="0" fillId="2" borderId="11" xfId="0" applyNumberFormat="1" applyFill="1" applyBorder="1" applyAlignment="1">
      <alignment horizontal="center" vertical="center" wrapText="1"/>
    </xf>
    <xf numFmtId="3" fontId="6" fillId="10" borderId="3" xfId="0" applyNumberFormat="1" applyFont="1" applyFill="1" applyBorder="1" applyAlignment="1">
      <alignment horizontal="right" vertical="center" wrapText="1"/>
    </xf>
    <xf numFmtId="3" fontId="6" fillId="10" borderId="9" xfId="0" applyNumberFormat="1" applyFont="1" applyFill="1" applyBorder="1" applyAlignment="1">
      <alignment horizontal="right" vertical="center" wrapText="1"/>
    </xf>
    <xf numFmtId="3" fontId="7" fillId="10" borderId="4" xfId="0" applyNumberFormat="1" applyFont="1" applyFill="1" applyBorder="1" applyAlignment="1">
      <alignment horizontal="center" vertical="center" wrapText="1"/>
    </xf>
    <xf numFmtId="3" fontId="6" fillId="7" borderId="3" xfId="0" applyNumberFormat="1" applyFont="1" applyFill="1" applyBorder="1" applyAlignment="1">
      <alignment horizontal="right" vertical="center" wrapText="1"/>
    </xf>
    <xf numFmtId="3" fontId="6" fillId="9" borderId="3" xfId="0" applyNumberFormat="1" applyFont="1" applyFill="1" applyBorder="1" applyAlignment="1">
      <alignment horizontal="right" vertical="center" wrapText="1"/>
    </xf>
    <xf numFmtId="3" fontId="7" fillId="9" borderId="4" xfId="0" applyNumberFormat="1" applyFont="1" applyFill="1" applyBorder="1" applyAlignment="1">
      <alignment horizontal="center" vertical="center" wrapText="1"/>
    </xf>
    <xf numFmtId="0" fontId="1" fillId="9" borderId="6" xfId="0" applyFont="1" applyFill="1" applyBorder="1" applyAlignment="1">
      <alignment horizontal="left" vertical="center" wrapText="1"/>
    </xf>
    <xf numFmtId="3" fontId="1" fillId="9" borderId="15" xfId="0" applyNumberFormat="1" applyFont="1" applyFill="1" applyBorder="1" applyAlignment="1">
      <alignment horizontal="right" vertical="center"/>
    </xf>
    <xf numFmtId="3" fontId="1" fillId="9" borderId="11" xfId="0" applyNumberFormat="1" applyFont="1" applyFill="1" applyBorder="1" applyAlignment="1">
      <alignment horizontal="right" vertical="center"/>
    </xf>
    <xf numFmtId="3" fontId="1" fillId="9" borderId="1" xfId="0" applyNumberFormat="1" applyFont="1" applyFill="1" applyBorder="1" applyAlignment="1">
      <alignment horizontal="center" vertical="center" wrapText="1"/>
    </xf>
    <xf numFmtId="3" fontId="6" fillId="9" borderId="1" xfId="0" applyNumberFormat="1" applyFont="1" applyFill="1" applyBorder="1" applyAlignment="1">
      <alignment horizontal="right"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3" fontId="6" fillId="13" borderId="3" xfId="0" applyNumberFormat="1" applyFont="1" applyFill="1" applyBorder="1" applyAlignment="1">
      <alignment horizontal="right" vertical="center" wrapText="1"/>
    </xf>
    <xf numFmtId="0" fontId="7" fillId="7"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3" fontId="0" fillId="6" borderId="1" xfId="0" applyNumberFormat="1" applyFill="1" applyBorder="1" applyAlignment="1">
      <alignment horizontal="center" vertical="center" wrapText="1"/>
    </xf>
    <xf numFmtId="3" fontId="0" fillId="8" borderId="1" xfId="0" applyNumberFormat="1" applyFill="1" applyBorder="1" applyAlignment="1">
      <alignment horizontal="center" vertical="center" wrapText="1"/>
    </xf>
    <xf numFmtId="3" fontId="0" fillId="4" borderId="6" xfId="0" applyNumberFormat="1" applyFill="1" applyBorder="1" applyAlignment="1">
      <alignment horizontal="center" vertical="center" wrapText="1"/>
    </xf>
    <xf numFmtId="3" fontId="0" fillId="4" borderId="2" xfId="0" applyNumberFormat="1" applyFill="1" applyBorder="1" applyAlignment="1">
      <alignment horizontal="center" vertical="center" wrapText="1"/>
    </xf>
    <xf numFmtId="3" fontId="1" fillId="4" borderId="7" xfId="0" applyNumberFormat="1" applyFont="1" applyFill="1" applyBorder="1" applyAlignment="1">
      <alignment horizontal="center" vertical="center" wrapText="1"/>
    </xf>
    <xf numFmtId="3" fontId="1" fillId="4" borderId="3" xfId="0" applyNumberFormat="1" applyFont="1" applyFill="1" applyBorder="1" applyAlignment="1">
      <alignment vertical="center" wrapText="1"/>
    </xf>
    <xf numFmtId="3" fontId="1" fillId="4" borderId="12" xfId="0" applyNumberFormat="1" applyFont="1" applyFill="1" applyBorder="1" applyAlignment="1">
      <alignment horizontal="center" vertical="center" wrapText="1"/>
    </xf>
    <xf numFmtId="3" fontId="1" fillId="0" borderId="28" xfId="0" applyNumberFormat="1" applyFont="1" applyBorder="1" applyAlignment="1">
      <alignment horizontal="center" vertical="center" wrapText="1"/>
    </xf>
    <xf numFmtId="0" fontId="1" fillId="15" borderId="29" xfId="0" applyFont="1" applyFill="1" applyBorder="1" applyAlignment="1">
      <alignment horizontal="center" vertical="center" wrapText="1"/>
    </xf>
    <xf numFmtId="0" fontId="1" fillId="15" borderId="30" xfId="0" applyFont="1" applyFill="1" applyBorder="1" applyAlignment="1">
      <alignment horizontal="center" vertical="center" wrapText="1"/>
    </xf>
    <xf numFmtId="0" fontId="1" fillId="15" borderId="31" xfId="0" applyFont="1" applyFill="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9" xfId="0" applyNumberFormat="1" applyFont="1" applyFill="1" applyBorder="1" applyAlignment="1">
      <alignment horizontal="center" vertical="center" wrapText="1"/>
    </xf>
    <xf numFmtId="3" fontId="0" fillId="4" borderId="15" xfId="0" applyNumberFormat="1" applyFill="1" applyBorder="1" applyAlignment="1">
      <alignment horizontal="center" vertical="center" wrapText="1"/>
    </xf>
    <xf numFmtId="3" fontId="0" fillId="4" borderId="24" xfId="0" applyNumberFormat="1" applyFill="1" applyBorder="1" applyAlignment="1">
      <alignment horizontal="center" vertical="center" wrapText="1"/>
    </xf>
    <xf numFmtId="3" fontId="0" fillId="4" borderId="16" xfId="0" applyNumberFormat="1" applyFill="1" applyBorder="1" applyAlignment="1">
      <alignment horizontal="center" vertical="center" wrapText="1"/>
    </xf>
    <xf numFmtId="3" fontId="0" fillId="4" borderId="25" xfId="0" applyNumberFormat="1" applyFill="1" applyBorder="1" applyAlignment="1">
      <alignment horizontal="center" vertical="center" wrapText="1"/>
    </xf>
    <xf numFmtId="3" fontId="1" fillId="4" borderId="17" xfId="0" applyNumberFormat="1" applyFont="1" applyFill="1" applyBorder="1" applyAlignment="1">
      <alignment horizontal="center" vertical="center" wrapText="1"/>
    </xf>
    <xf numFmtId="3" fontId="1" fillId="4" borderId="26" xfId="0" applyNumberFormat="1" applyFont="1" applyFill="1" applyBorder="1" applyAlignment="1">
      <alignment horizontal="center" vertical="center" wrapText="1"/>
    </xf>
    <xf numFmtId="3" fontId="0" fillId="8" borderId="27" xfId="0" applyNumberFormat="1" applyFill="1" applyBorder="1" applyAlignment="1">
      <alignment horizontal="center" vertical="center" wrapText="1"/>
    </xf>
    <xf numFmtId="3" fontId="1" fillId="0" borderId="27" xfId="0" applyNumberFormat="1" applyFont="1" applyBorder="1" applyAlignment="1">
      <alignment horizontal="center" vertical="center" wrapText="1"/>
    </xf>
    <xf numFmtId="3" fontId="8" fillId="7" borderId="3" xfId="0" applyNumberFormat="1" applyFont="1" applyFill="1" applyBorder="1" applyAlignment="1">
      <alignment horizontal="right" vertical="center" wrapText="1"/>
    </xf>
    <xf numFmtId="3" fontId="5" fillId="8" borderId="1" xfId="0" applyNumberFormat="1" applyFont="1" applyFill="1" applyBorder="1" applyAlignment="1">
      <alignment horizontal="center" vertical="center" wrapText="1"/>
    </xf>
    <xf numFmtId="3" fontId="8" fillId="10" borderId="3" xfId="0" applyNumberFormat="1" applyFont="1" applyFill="1" applyBorder="1" applyAlignment="1">
      <alignment horizontal="right" vertical="center" wrapText="1"/>
    </xf>
    <xf numFmtId="3" fontId="5" fillId="6" borderId="1"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3" fontId="0" fillId="4" borderId="19" xfId="0" applyNumberFormat="1" applyFill="1" applyBorder="1" applyAlignment="1">
      <alignment horizontal="center" vertical="center" wrapText="1"/>
    </xf>
    <xf numFmtId="3" fontId="0" fillId="4" borderId="22" xfId="0" applyNumberFormat="1" applyFill="1" applyBorder="1" applyAlignment="1">
      <alignment horizontal="center" vertical="center" wrapText="1"/>
    </xf>
    <xf numFmtId="3" fontId="1" fillId="4" borderId="21" xfId="0" applyNumberFormat="1" applyFont="1" applyFill="1" applyBorder="1" applyAlignment="1">
      <alignment horizontal="center" vertical="center" wrapText="1"/>
    </xf>
    <xf numFmtId="3" fontId="0" fillId="6" borderId="5" xfId="0" applyNumberFormat="1" applyFill="1" applyBorder="1" applyAlignment="1">
      <alignment horizontal="center" vertical="center" wrapText="1"/>
    </xf>
    <xf numFmtId="3" fontId="0" fillId="8" borderId="5" xfId="0" applyNumberFormat="1" applyFill="1" applyBorder="1" applyAlignment="1">
      <alignment horizontal="center" vertical="center" wrapText="1"/>
    </xf>
    <xf numFmtId="0" fontId="1" fillId="15" borderId="23" xfId="0" applyFont="1" applyFill="1" applyBorder="1" applyAlignment="1">
      <alignment horizontal="center" vertical="center" wrapText="1"/>
    </xf>
    <xf numFmtId="3" fontId="0" fillId="6" borderId="9" xfId="0" applyNumberFormat="1" applyFill="1" applyBorder="1" applyAlignment="1">
      <alignment horizontal="center" vertical="center" wrapText="1"/>
    </xf>
    <xf numFmtId="17" fontId="6" fillId="0" borderId="0" xfId="0" applyNumberFormat="1" applyFont="1" applyAlignment="1">
      <alignment horizontal="center" vertical="center" wrapText="1"/>
    </xf>
    <xf numFmtId="3" fontId="8" fillId="5" borderId="3" xfId="0" applyNumberFormat="1" applyFont="1" applyFill="1" applyBorder="1" applyAlignment="1">
      <alignment horizontal="right" vertical="center" wrapText="1"/>
    </xf>
    <xf numFmtId="3" fontId="11" fillId="4" borderId="3" xfId="0" applyNumberFormat="1" applyFont="1" applyFill="1" applyBorder="1" applyAlignment="1">
      <alignment horizontal="right" vertical="center" wrapText="1"/>
    </xf>
    <xf numFmtId="3" fontId="8" fillId="13" borderId="10" xfId="0" applyNumberFormat="1" applyFont="1" applyFill="1" applyBorder="1" applyAlignment="1">
      <alignment horizontal="righ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3" fillId="4" borderId="3" xfId="0" applyFont="1" applyFill="1" applyBorder="1" applyAlignment="1">
      <alignment horizontal="center" vertical="center" wrapText="1"/>
    </xf>
    <xf numFmtId="0" fontId="5" fillId="10" borderId="1" xfId="0" applyFont="1" applyFill="1" applyBorder="1" applyAlignment="1">
      <alignment vertical="center" wrapText="1"/>
    </xf>
    <xf numFmtId="3" fontId="1" fillId="0" borderId="33" xfId="0" applyNumberFormat="1" applyFont="1" applyBorder="1" applyAlignment="1">
      <alignment horizontal="center" vertical="center" wrapText="1"/>
    </xf>
    <xf numFmtId="3" fontId="8" fillId="0" borderId="28" xfId="0" applyNumberFormat="1" applyFont="1" applyBorder="1" applyAlignment="1">
      <alignment horizontal="center" vertical="center" wrapText="1"/>
    </xf>
    <xf numFmtId="3" fontId="1" fillId="0" borderId="0" xfId="0" applyNumberFormat="1" applyFont="1"/>
    <xf numFmtId="3" fontId="1" fillId="0" borderId="34" xfId="0" applyNumberFormat="1" applyFont="1" applyBorder="1" applyAlignment="1">
      <alignment horizontal="center" vertical="center" wrapText="1"/>
    </xf>
    <xf numFmtId="0" fontId="5" fillId="13" borderId="1" xfId="0" applyFont="1" applyFill="1" applyBorder="1" applyAlignment="1">
      <alignment horizontal="center" vertical="center"/>
    </xf>
    <xf numFmtId="0" fontId="5" fillId="13" borderId="1"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6" xfId="0" applyFont="1" applyFill="1" applyBorder="1" applyAlignment="1">
      <alignment vertical="center" wrapText="1"/>
    </xf>
    <xf numFmtId="3" fontId="11" fillId="13" borderId="3" xfId="0" applyNumberFormat="1" applyFont="1" applyFill="1" applyBorder="1" applyAlignment="1">
      <alignment horizontal="right" vertical="center" wrapText="1"/>
    </xf>
    <xf numFmtId="3" fontId="8" fillId="13" borderId="3" xfId="0" applyNumberFormat="1" applyFont="1" applyFill="1" applyBorder="1" applyAlignment="1">
      <alignment horizontal="right" vertical="center" wrapText="1"/>
    </xf>
    <xf numFmtId="3" fontId="5" fillId="13" borderId="27"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3" fontId="5" fillId="13" borderId="5" xfId="0" applyNumberFormat="1" applyFont="1" applyFill="1" applyBorder="1" applyAlignment="1">
      <alignment horizontal="center" vertical="center" wrapText="1"/>
    </xf>
    <xf numFmtId="3" fontId="5" fillId="13" borderId="9" xfId="0" applyNumberFormat="1" applyFont="1" applyFill="1" applyBorder="1" applyAlignment="1">
      <alignment horizontal="center" vertical="center" wrapText="1"/>
    </xf>
    <xf numFmtId="0" fontId="5" fillId="13" borderId="1" xfId="0" applyFont="1" applyFill="1" applyBorder="1" applyAlignment="1">
      <alignment vertical="center" wrapText="1"/>
    </xf>
    <xf numFmtId="0" fontId="5" fillId="13" borderId="1" xfId="0" applyFont="1" applyFill="1" applyBorder="1" applyAlignment="1">
      <alignment vertical="top" wrapText="1"/>
    </xf>
    <xf numFmtId="0" fontId="5" fillId="13" borderId="3"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5" fillId="13" borderId="1" xfId="0" applyFont="1" applyFill="1" applyBorder="1" applyAlignment="1">
      <alignment wrapText="1"/>
    </xf>
    <xf numFmtId="0" fontId="12" fillId="13" borderId="3" xfId="0" applyFont="1" applyFill="1" applyBorder="1" applyAlignment="1">
      <alignment horizontal="right" vertical="center" wrapText="1"/>
    </xf>
    <xf numFmtId="0" fontId="12" fillId="13" borderId="4" xfId="0" applyFont="1" applyFill="1" applyBorder="1" applyAlignment="1">
      <alignment horizontal="right" vertical="center" wrapText="1"/>
    </xf>
    <xf numFmtId="3" fontId="5" fillId="13" borderId="15" xfId="0" applyNumberFormat="1" applyFont="1" applyFill="1" applyBorder="1" applyAlignment="1">
      <alignment horizontal="center" vertical="center" wrapText="1"/>
    </xf>
    <xf numFmtId="3" fontId="5" fillId="13" borderId="6" xfId="0" applyNumberFormat="1" applyFont="1" applyFill="1" applyBorder="1" applyAlignment="1">
      <alignment horizontal="center" vertical="center" wrapText="1"/>
    </xf>
    <xf numFmtId="3" fontId="5" fillId="13" borderId="16"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0" fontId="1" fillId="0" borderId="0" xfId="0" applyFont="1" applyAlignment="1">
      <alignment horizontal="right" vertical="center" wrapText="1"/>
    </xf>
    <xf numFmtId="3" fontId="0" fillId="8" borderId="9" xfId="0" applyNumberForma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xf>
    <xf numFmtId="0" fontId="5" fillId="9" borderId="3" xfId="0" applyFont="1" applyFill="1" applyBorder="1" applyAlignment="1">
      <alignment horizontal="center" vertical="center" wrapText="1"/>
    </xf>
    <xf numFmtId="0" fontId="5" fillId="9" borderId="3" xfId="0" applyFont="1" applyFill="1" applyBorder="1" applyAlignment="1">
      <alignment horizontal="left" vertical="center" wrapText="1"/>
    </xf>
    <xf numFmtId="3" fontId="8" fillId="9" borderId="3" xfId="0" applyNumberFormat="1" applyFont="1" applyFill="1" applyBorder="1" applyAlignment="1">
      <alignment horizontal="center" vertical="center" wrapText="1"/>
    </xf>
    <xf numFmtId="3" fontId="8" fillId="9" borderId="3" xfId="0" applyNumberFormat="1" applyFont="1" applyFill="1" applyBorder="1" applyAlignment="1">
      <alignment horizontal="right" vertical="center" wrapText="1"/>
    </xf>
    <xf numFmtId="3" fontId="5" fillId="9" borderId="27"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5" xfId="0" applyNumberFormat="1" applyFont="1" applyFill="1" applyBorder="1" applyAlignment="1">
      <alignment horizontal="center" vertical="center" wrapText="1"/>
    </xf>
    <xf numFmtId="3" fontId="5" fillId="9" borderId="9" xfId="0" applyNumberFormat="1" applyFont="1" applyFill="1" applyBorder="1" applyAlignment="1">
      <alignment horizontal="center" vertical="center" wrapText="1"/>
    </xf>
    <xf numFmtId="3" fontId="13" fillId="9" borderId="3" xfId="0" applyNumberFormat="1" applyFont="1" applyFill="1" applyBorder="1" applyAlignment="1">
      <alignment horizontal="center" vertical="center" wrapText="1"/>
    </xf>
    <xf numFmtId="3" fontId="14" fillId="9" borderId="1" xfId="0" applyNumberFormat="1" applyFont="1" applyFill="1" applyBorder="1" applyAlignment="1">
      <alignment horizontal="center" vertical="center" wrapText="1"/>
    </xf>
    <xf numFmtId="0" fontId="5" fillId="9" borderId="1" xfId="0" applyFont="1" applyFill="1" applyBorder="1" applyAlignment="1">
      <alignment vertical="top" wrapText="1"/>
    </xf>
    <xf numFmtId="0" fontId="5" fillId="9" borderId="1" xfId="0" applyFont="1" applyFill="1" applyBorder="1" applyAlignment="1">
      <alignment wrapText="1"/>
    </xf>
    <xf numFmtId="0" fontId="8" fillId="9" borderId="1" xfId="0" applyFont="1" applyFill="1" applyBorder="1" applyAlignment="1">
      <alignment wrapText="1"/>
    </xf>
    <xf numFmtId="165" fontId="5" fillId="9" borderId="1"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3" fontId="8" fillId="9" borderId="1" xfId="0" applyNumberFormat="1" applyFont="1" applyFill="1" applyBorder="1" applyAlignment="1">
      <alignment horizontal="center" vertical="center" wrapText="1"/>
    </xf>
    <xf numFmtId="3" fontId="5" fillId="9" borderId="15" xfId="0" applyNumberFormat="1" applyFont="1" applyFill="1" applyBorder="1" applyAlignment="1">
      <alignment horizontal="center" vertical="center" wrapText="1"/>
    </xf>
    <xf numFmtId="3" fontId="5" fillId="9" borderId="6" xfId="0" applyNumberFormat="1" applyFont="1" applyFill="1" applyBorder="1" applyAlignment="1">
      <alignment horizontal="center" vertical="center" wrapText="1"/>
    </xf>
    <xf numFmtId="0" fontId="12" fillId="9" borderId="3" xfId="0" applyFont="1" applyFill="1" applyBorder="1" applyAlignment="1">
      <alignment horizontal="right" vertical="center" wrapText="1"/>
    </xf>
    <xf numFmtId="3" fontId="11" fillId="9" borderId="4" xfId="0" applyNumberFormat="1" applyFont="1" applyFill="1" applyBorder="1" applyAlignment="1">
      <alignment horizontal="right" vertical="center" wrapText="1"/>
    </xf>
    <xf numFmtId="3" fontId="5" fillId="9" borderId="16" xfId="0" applyNumberFormat="1" applyFont="1" applyFill="1" applyBorder="1" applyAlignment="1">
      <alignment horizontal="center" vertical="center" wrapText="1"/>
    </xf>
    <xf numFmtId="3" fontId="5" fillId="9" borderId="2" xfId="0" applyNumberFormat="1" applyFont="1" applyFill="1" applyBorder="1" applyAlignment="1">
      <alignment horizontal="center" vertical="center" wrapText="1"/>
    </xf>
    <xf numFmtId="3" fontId="5" fillId="9" borderId="17" xfId="0" applyNumberFormat="1" applyFont="1" applyFill="1" applyBorder="1" applyAlignment="1">
      <alignment horizontal="center" vertical="center" wrapText="1"/>
    </xf>
    <xf numFmtId="3" fontId="5" fillId="9" borderId="7" xfId="0" applyNumberFormat="1" applyFont="1" applyFill="1" applyBorder="1" applyAlignment="1">
      <alignment horizontal="center" vertical="center" wrapText="1"/>
    </xf>
    <xf numFmtId="3" fontId="0" fillId="6" borderId="8" xfId="0" applyNumberFormat="1" applyFill="1" applyBorder="1" applyAlignment="1">
      <alignment horizontal="center" vertical="center" wrapText="1"/>
    </xf>
    <xf numFmtId="3" fontId="8" fillId="6" borderId="4" xfId="0" applyNumberFormat="1" applyFont="1" applyFill="1" applyBorder="1" applyAlignment="1">
      <alignment horizontal="right"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6" xfId="0" applyFont="1" applyFill="1" applyBorder="1" applyAlignment="1">
      <alignment vertical="center" wrapText="1"/>
    </xf>
    <xf numFmtId="3" fontId="8" fillId="7" borderId="3" xfId="0" applyNumberFormat="1" applyFont="1" applyFill="1" applyBorder="1" applyAlignment="1">
      <alignment horizontal="center" vertical="center" wrapText="1"/>
    </xf>
    <xf numFmtId="3" fontId="5" fillId="7" borderId="27"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3" fontId="5" fillId="7" borderId="5" xfId="0" applyNumberFormat="1" applyFont="1" applyFill="1" applyBorder="1" applyAlignment="1">
      <alignment horizontal="center" vertical="center" wrapText="1"/>
    </xf>
    <xf numFmtId="3" fontId="5" fillId="7" borderId="9" xfId="0" applyNumberFormat="1" applyFont="1" applyFill="1" applyBorder="1" applyAlignment="1">
      <alignment horizontal="center" vertical="center" wrapText="1"/>
    </xf>
    <xf numFmtId="3" fontId="5" fillId="7" borderId="15" xfId="0" applyNumberFormat="1" applyFont="1" applyFill="1" applyBorder="1" applyAlignment="1">
      <alignment horizontal="center" vertical="center" wrapText="1"/>
    </xf>
    <xf numFmtId="3" fontId="5" fillId="7" borderId="6"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5" fillId="7" borderId="3" xfId="0" applyFont="1" applyFill="1" applyBorder="1" applyAlignment="1">
      <alignment vertical="center" wrapText="1"/>
    </xf>
    <xf numFmtId="0" fontId="5" fillId="7" borderId="3" xfId="0" applyFont="1" applyFill="1" applyBorder="1" applyAlignment="1">
      <alignment horizontal="left" vertical="center" wrapText="1"/>
    </xf>
    <xf numFmtId="0" fontId="5" fillId="7" borderId="1" xfId="0" applyFont="1" applyFill="1" applyBorder="1" applyAlignment="1">
      <alignment wrapText="1"/>
    </xf>
    <xf numFmtId="2" fontId="5" fillId="7" borderId="1" xfId="0" applyNumberFormat="1" applyFont="1" applyFill="1" applyBorder="1" applyAlignment="1">
      <alignment horizontal="center" vertical="center" wrapText="1"/>
    </xf>
    <xf numFmtId="3" fontId="11" fillId="7" borderId="4" xfId="0" applyNumberFormat="1" applyFont="1" applyFill="1" applyBorder="1" applyAlignment="1">
      <alignment horizontal="right" vertical="center" wrapText="1"/>
    </xf>
    <xf numFmtId="0" fontId="12" fillId="7" borderId="3" xfId="0" applyFont="1" applyFill="1" applyBorder="1" applyAlignment="1">
      <alignment horizontal="right" vertical="center" wrapText="1"/>
    </xf>
    <xf numFmtId="0" fontId="12" fillId="7" borderId="4" xfId="0" applyFont="1" applyFill="1" applyBorder="1" applyAlignment="1">
      <alignment horizontal="right" vertical="center" wrapText="1"/>
    </xf>
    <xf numFmtId="0" fontId="12" fillId="7" borderId="5" xfId="0" applyFont="1" applyFill="1" applyBorder="1" applyAlignment="1">
      <alignment horizontal="right" vertical="center" wrapText="1"/>
    </xf>
    <xf numFmtId="3" fontId="5" fillId="7" borderId="16" xfId="0" applyNumberFormat="1" applyFont="1" applyFill="1" applyBorder="1" applyAlignment="1">
      <alignment horizontal="center" vertical="center" wrapText="1"/>
    </xf>
    <xf numFmtId="3" fontId="5" fillId="7" borderId="2" xfId="0" applyNumberFormat="1" applyFont="1" applyFill="1" applyBorder="1" applyAlignment="1">
      <alignment horizontal="center" vertical="center" wrapText="1"/>
    </xf>
    <xf numFmtId="3" fontId="5" fillId="7" borderId="17" xfId="0" applyNumberFormat="1" applyFont="1" applyFill="1" applyBorder="1" applyAlignment="1">
      <alignment horizontal="center" vertical="center" wrapText="1"/>
    </xf>
    <xf numFmtId="3" fontId="5" fillId="7" borderId="7" xfId="0" applyNumberFormat="1" applyFont="1" applyFill="1" applyBorder="1" applyAlignment="1">
      <alignment horizontal="center" vertical="center" wrapText="1"/>
    </xf>
    <xf numFmtId="0" fontId="1" fillId="0" borderId="0" xfId="0" applyFont="1" applyAlignment="1">
      <alignment horizontal="center" vertical="center" wrapText="1"/>
    </xf>
    <xf numFmtId="3" fontId="8" fillId="5" borderId="4" xfId="0" applyNumberFormat="1" applyFont="1" applyFill="1" applyBorder="1" applyAlignment="1">
      <alignment horizontal="right" wrapText="1"/>
    </xf>
    <xf numFmtId="3" fontId="5" fillId="5" borderId="27"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5" fillId="5" borderId="5" xfId="0" applyNumberFormat="1" applyFont="1" applyFill="1" applyBorder="1" applyAlignment="1">
      <alignment horizontal="center" vertical="center" wrapText="1"/>
    </xf>
    <xf numFmtId="3" fontId="5" fillId="5" borderId="9"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wrapText="1"/>
    </xf>
    <xf numFmtId="0" fontId="5" fillId="10" borderId="1" xfId="0" applyFont="1" applyFill="1" applyBorder="1" applyAlignment="1">
      <alignment horizontal="center" vertical="center"/>
    </xf>
    <xf numFmtId="0" fontId="5" fillId="10" borderId="3" xfId="0" applyFont="1" applyFill="1" applyBorder="1" applyAlignment="1">
      <alignment horizontal="left" vertical="center" wrapText="1"/>
    </xf>
    <xf numFmtId="3" fontId="11" fillId="10" borderId="3" xfId="0" applyNumberFormat="1" applyFont="1" applyFill="1" applyBorder="1" applyAlignment="1">
      <alignment horizontal="right" vertical="center" wrapText="1"/>
    </xf>
    <xf numFmtId="3" fontId="5" fillId="10" borderId="27"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3" fontId="5" fillId="10" borderId="5" xfId="0" applyNumberFormat="1" applyFont="1" applyFill="1" applyBorder="1" applyAlignment="1">
      <alignment horizontal="center" vertical="center" wrapText="1"/>
    </xf>
    <xf numFmtId="3" fontId="5" fillId="10" borderId="9"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wrapText="1"/>
    </xf>
    <xf numFmtId="0" fontId="12" fillId="10" borderId="3" xfId="0" applyFont="1" applyFill="1" applyBorder="1" applyAlignment="1">
      <alignment horizontal="right" vertical="center" wrapText="1"/>
    </xf>
    <xf numFmtId="0" fontId="12" fillId="10" borderId="4" xfId="0" applyFont="1" applyFill="1" applyBorder="1" applyAlignment="1">
      <alignment horizontal="right" vertical="center" wrapText="1"/>
    </xf>
    <xf numFmtId="0" fontId="12" fillId="10" borderId="5" xfId="0" applyFont="1" applyFill="1" applyBorder="1" applyAlignment="1">
      <alignment horizontal="right" vertical="center" wrapText="1"/>
    </xf>
    <xf numFmtId="3" fontId="11" fillId="10" borderId="4" xfId="0" applyNumberFormat="1" applyFont="1" applyFill="1" applyBorder="1" applyAlignment="1">
      <alignment horizontal="right" vertical="center" wrapText="1"/>
    </xf>
    <xf numFmtId="3" fontId="5" fillId="10" borderId="15" xfId="0" applyNumberFormat="1" applyFont="1" applyFill="1" applyBorder="1" applyAlignment="1">
      <alignment horizontal="center" vertical="center" wrapText="1"/>
    </xf>
    <xf numFmtId="3" fontId="5" fillId="10" borderId="6" xfId="0" applyNumberFormat="1" applyFont="1" applyFill="1" applyBorder="1" applyAlignment="1">
      <alignment horizontal="center" vertical="center" wrapText="1"/>
    </xf>
    <xf numFmtId="3" fontId="5" fillId="10" borderId="16" xfId="0" applyNumberFormat="1" applyFont="1" applyFill="1" applyBorder="1" applyAlignment="1">
      <alignment horizontal="center" vertical="center" wrapText="1"/>
    </xf>
    <xf numFmtId="3" fontId="5" fillId="10" borderId="2" xfId="0" applyNumberFormat="1" applyFont="1" applyFill="1" applyBorder="1" applyAlignment="1">
      <alignment horizontal="center" vertical="center" wrapText="1"/>
    </xf>
    <xf numFmtId="3" fontId="8" fillId="16" borderId="4" xfId="0" applyNumberFormat="1" applyFont="1" applyFill="1" applyBorder="1" applyAlignment="1">
      <alignment horizontal="right" vertical="center" wrapText="1"/>
    </xf>
    <xf numFmtId="3" fontId="8" fillId="16" borderId="3" xfId="0" applyNumberFormat="1" applyFont="1" applyFill="1" applyBorder="1" applyAlignment="1">
      <alignment horizontal="right" vertical="center" wrapText="1"/>
    </xf>
    <xf numFmtId="3" fontId="1" fillId="16" borderId="21" xfId="0" applyNumberFormat="1" applyFont="1" applyFill="1" applyBorder="1" applyAlignment="1">
      <alignment horizontal="center" vertical="center" wrapText="1"/>
    </xf>
    <xf numFmtId="3" fontId="1" fillId="16" borderId="7" xfId="0" applyNumberFormat="1" applyFont="1" applyFill="1" applyBorder="1" applyAlignment="1">
      <alignment horizontal="center" vertical="center" wrapText="1"/>
    </xf>
    <xf numFmtId="3" fontId="1" fillId="16" borderId="32" xfId="0" applyNumberFormat="1" applyFont="1" applyFill="1" applyBorder="1" applyAlignment="1">
      <alignment horizontal="center" vertical="center" wrapText="1"/>
    </xf>
    <xf numFmtId="3" fontId="8" fillId="16" borderId="7" xfId="0" applyNumberFormat="1" applyFont="1" applyFill="1" applyBorder="1" applyAlignment="1">
      <alignment horizontal="center" vertical="center" wrapText="1"/>
    </xf>
    <xf numFmtId="3" fontId="1" fillId="16"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5" fillId="4" borderId="1" xfId="0" applyFont="1" applyFill="1" applyBorder="1" applyAlignment="1">
      <alignment horizontal="left" vertical="center" wrapText="1"/>
    </xf>
    <xf numFmtId="3" fontId="11" fillId="4" borderId="1" xfId="0" applyNumberFormat="1" applyFont="1" applyFill="1" applyBorder="1" applyAlignment="1">
      <alignment horizontal="right" vertical="center" wrapText="1"/>
    </xf>
    <xf numFmtId="0" fontId="5" fillId="4" borderId="3" xfId="0" applyFont="1" applyFill="1" applyBorder="1" applyAlignment="1">
      <alignment vertical="center" wrapText="1"/>
    </xf>
    <xf numFmtId="165" fontId="5" fillId="4" borderId="1" xfId="0" applyNumberFormat="1" applyFont="1" applyFill="1" applyBorder="1" applyAlignment="1">
      <alignment horizontal="center" vertical="center" wrapText="1"/>
    </xf>
    <xf numFmtId="0" fontId="1" fillId="15" borderId="35" xfId="0" applyFont="1" applyFill="1" applyBorder="1" applyAlignment="1">
      <alignment horizontal="center" vertical="center"/>
    </xf>
    <xf numFmtId="0" fontId="1" fillId="15" borderId="36" xfId="0" applyFont="1" applyFill="1" applyBorder="1" applyAlignment="1">
      <alignment vertical="center"/>
    </xf>
    <xf numFmtId="0" fontId="1" fillId="15" borderId="36" xfId="0" applyFont="1" applyFill="1" applyBorder="1" applyAlignment="1">
      <alignment horizontal="center" vertical="center"/>
    </xf>
    <xf numFmtId="0" fontId="1" fillId="15" borderId="36"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5" borderId="8" xfId="0" applyFill="1" applyBorder="1" applyAlignment="1">
      <alignment horizontal="center" vertical="center"/>
    </xf>
    <xf numFmtId="0" fontId="0" fillId="6" borderId="8" xfId="0" applyFill="1" applyBorder="1" applyAlignment="1">
      <alignment horizontal="center" vertical="center"/>
    </xf>
    <xf numFmtId="0" fontId="0" fillId="8" borderId="8" xfId="0" applyFill="1" applyBorder="1" applyAlignment="1">
      <alignment horizontal="center" vertical="center"/>
    </xf>
    <xf numFmtId="0" fontId="5" fillId="13" borderId="14" xfId="0" applyFont="1" applyFill="1" applyBorder="1" applyAlignment="1">
      <alignment horizontal="center" vertical="center"/>
    </xf>
    <xf numFmtId="0" fontId="0" fillId="0" borderId="27" xfId="0" applyBorder="1" applyAlignment="1">
      <alignment horizontal="center" vertical="center"/>
    </xf>
    <xf numFmtId="3" fontId="1" fillId="0" borderId="41" xfId="0" applyNumberFormat="1" applyFont="1" applyBorder="1" applyAlignment="1">
      <alignment horizontal="center" vertical="center" wrapText="1"/>
    </xf>
    <xf numFmtId="164" fontId="8" fillId="4" borderId="3" xfId="2" applyNumberFormat="1" applyFont="1" applyFill="1" applyBorder="1" applyAlignment="1">
      <alignment vertical="center" wrapText="1"/>
    </xf>
    <xf numFmtId="3" fontId="5" fillId="2" borderId="1" xfId="0" applyNumberFormat="1" applyFont="1" applyFill="1" applyBorder="1" applyAlignment="1">
      <alignment horizontal="center" vertical="center" wrapText="1"/>
    </xf>
    <xf numFmtId="0" fontId="0" fillId="0" borderId="0" xfId="0" applyAlignment="1">
      <alignment horizontal="right" vertical="center" wrapText="1"/>
    </xf>
    <xf numFmtId="6" fontId="0" fillId="0" borderId="0" xfId="0" applyNumberFormat="1" applyAlignment="1">
      <alignment horizontal="center" vertical="center" wrapText="1"/>
    </xf>
    <xf numFmtId="166" fontId="0" fillId="0" borderId="0" xfId="1" applyNumberFormat="1" applyFont="1" applyAlignment="1">
      <alignment vertical="center" wrapText="1"/>
    </xf>
    <xf numFmtId="0" fontId="7" fillId="0" borderId="0" xfId="0" applyFont="1" applyAlignment="1">
      <alignment horizontal="right" vertical="center" wrapText="1"/>
    </xf>
    <xf numFmtId="8" fontId="0" fillId="0" borderId="0" xfId="0" applyNumberFormat="1" applyAlignment="1">
      <alignment horizontal="center" vertical="center" wrapText="1"/>
    </xf>
    <xf numFmtId="8" fontId="16" fillId="0" borderId="0" xfId="0" applyNumberFormat="1" applyFont="1" applyAlignment="1">
      <alignment horizontal="center" vertical="center" wrapText="1"/>
    </xf>
    <xf numFmtId="6" fontId="5" fillId="0" borderId="0" xfId="0" applyNumberFormat="1" applyFont="1" applyAlignment="1">
      <alignment horizontal="center" vertical="center" wrapText="1"/>
    </xf>
    <xf numFmtId="3" fontId="8" fillId="2" borderId="3" xfId="0" applyNumberFormat="1" applyFont="1" applyFill="1" applyBorder="1" applyAlignment="1">
      <alignment horizontal="right" vertical="center" wrapText="1"/>
    </xf>
    <xf numFmtId="3" fontId="0" fillId="0" borderId="0" xfId="0" applyNumberFormat="1" applyAlignment="1">
      <alignment horizontal="center" vertical="center" wrapText="1"/>
    </xf>
    <xf numFmtId="6" fontId="16" fillId="2" borderId="0" xfId="0" applyNumberFormat="1" applyFont="1" applyFill="1" applyAlignment="1">
      <alignment horizontal="center" vertical="center" wrapText="1"/>
    </xf>
    <xf numFmtId="3" fontId="11" fillId="2" borderId="3" xfId="0" applyNumberFormat="1" applyFont="1" applyFill="1" applyBorder="1" applyAlignment="1">
      <alignment horizontal="right" vertical="center" wrapText="1"/>
    </xf>
    <xf numFmtId="3" fontId="1" fillId="2" borderId="7" xfId="0" applyNumberFormat="1" applyFont="1" applyFill="1" applyBorder="1" applyAlignment="1">
      <alignment horizontal="center" vertical="center" wrapText="1"/>
    </xf>
    <xf numFmtId="3" fontId="5" fillId="4" borderId="3" xfId="0" applyNumberFormat="1" applyFont="1" applyFill="1" applyBorder="1" applyAlignment="1">
      <alignment horizontal="right" vertical="center" wrapText="1"/>
    </xf>
    <xf numFmtId="164" fontId="8" fillId="2" borderId="3" xfId="2" applyNumberFormat="1" applyFont="1" applyFill="1" applyBorder="1" applyAlignment="1">
      <alignment vertical="center" wrapText="1"/>
    </xf>
    <xf numFmtId="3" fontId="5" fillId="2" borderId="27" xfId="0" applyNumberFormat="1" applyFont="1" applyFill="1" applyBorder="1" applyAlignment="1">
      <alignment horizontal="center" vertical="center" wrapText="1"/>
    </xf>
    <xf numFmtId="6" fontId="7" fillId="0" borderId="0" xfId="0" applyNumberFormat="1" applyFont="1" applyAlignment="1">
      <alignment horizontal="center" vertical="center"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5" xfId="0" applyFont="1" applyFill="1" applyBorder="1" applyAlignment="1">
      <alignment horizontal="right" vertical="center" wrapText="1"/>
    </xf>
    <xf numFmtId="17" fontId="0" fillId="15" borderId="0" xfId="0" applyNumberFormat="1" applyFill="1" applyAlignment="1">
      <alignment vertical="center" wrapText="1"/>
    </xf>
    <xf numFmtId="0" fontId="1" fillId="2" borderId="30" xfId="0" applyFont="1" applyFill="1" applyBorder="1" applyAlignment="1">
      <alignment horizontal="center" vertical="center" wrapText="1"/>
    </xf>
    <xf numFmtId="3" fontId="4" fillId="2" borderId="3" xfId="0" applyNumberFormat="1" applyFont="1" applyFill="1" applyBorder="1" applyAlignment="1">
      <alignment vertical="center" wrapText="1"/>
    </xf>
    <xf numFmtId="3" fontId="7" fillId="2" borderId="1" xfId="0" applyNumberFormat="1" applyFont="1" applyFill="1" applyBorder="1" applyAlignment="1">
      <alignment horizontal="center" vertical="center" wrapText="1"/>
    </xf>
    <xf numFmtId="3" fontId="6" fillId="2" borderId="3" xfId="0" applyNumberFormat="1" applyFont="1" applyFill="1" applyBorder="1" applyAlignment="1">
      <alignment horizontal="right" vertical="center" wrapText="1"/>
    </xf>
    <xf numFmtId="3" fontId="7" fillId="10"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17" fillId="10" borderId="3" xfId="0" applyNumberFormat="1" applyFont="1" applyFill="1" applyBorder="1" applyAlignment="1">
      <alignment horizontal="right" vertical="center" wrapText="1"/>
    </xf>
    <xf numFmtId="3" fontId="17" fillId="10" borderId="4" xfId="0" applyNumberFormat="1" applyFont="1" applyFill="1" applyBorder="1" applyAlignment="1">
      <alignment horizontal="right" vertical="center" wrapText="1"/>
    </xf>
    <xf numFmtId="0" fontId="18" fillId="10" borderId="5" xfId="0" applyFont="1" applyFill="1" applyBorder="1" applyAlignment="1">
      <alignment horizontal="right" vertical="center" wrapText="1"/>
    </xf>
    <xf numFmtId="3" fontId="19" fillId="7" borderId="1" xfId="0" applyNumberFormat="1" applyFont="1" applyFill="1" applyBorder="1" applyAlignment="1">
      <alignment horizontal="center" vertical="center" wrapText="1"/>
    </xf>
    <xf numFmtId="3" fontId="20" fillId="2" borderId="3" xfId="0" applyNumberFormat="1" applyFont="1" applyFill="1" applyBorder="1" applyAlignment="1">
      <alignment horizontal="right" vertical="center" wrapText="1"/>
    </xf>
    <xf numFmtId="3" fontId="5" fillId="9" borderId="8" xfId="0" applyNumberFormat="1" applyFont="1" applyFill="1" applyBorder="1" applyAlignment="1">
      <alignment horizontal="center" vertical="center" wrapText="1"/>
    </xf>
    <xf numFmtId="3" fontId="20" fillId="9" borderId="3" xfId="0" applyNumberFormat="1" applyFont="1" applyFill="1" applyBorder="1" applyAlignment="1">
      <alignment horizontal="right" vertical="center" wrapText="1"/>
    </xf>
    <xf numFmtId="3" fontId="19" fillId="9" borderId="1" xfId="0" applyNumberFormat="1" applyFont="1" applyFill="1" applyBorder="1" applyAlignment="1">
      <alignment horizontal="center" vertical="center" wrapText="1"/>
    </xf>
    <xf numFmtId="3" fontId="11" fillId="2" borderId="3"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19" fillId="9" borderId="3" xfId="0" applyFont="1" applyFill="1" applyBorder="1" applyAlignment="1">
      <alignment horizontal="left" vertical="center" wrapText="1"/>
    </xf>
    <xf numFmtId="3" fontId="17" fillId="9" borderId="4" xfId="0" applyNumberFormat="1" applyFont="1" applyFill="1" applyBorder="1" applyAlignment="1">
      <alignment horizontal="right" vertical="center" wrapText="1"/>
    </xf>
    <xf numFmtId="3" fontId="1" fillId="0" borderId="0" xfId="0" applyNumberFormat="1" applyFont="1" applyAlignment="1">
      <alignment horizontal="right" vertical="center" wrapText="1"/>
    </xf>
    <xf numFmtId="3" fontId="19" fillId="13" borderId="1" xfId="0" applyNumberFormat="1" applyFont="1" applyFill="1" applyBorder="1" applyAlignment="1">
      <alignment horizontal="center" vertical="center" wrapText="1"/>
    </xf>
    <xf numFmtId="3" fontId="20" fillId="13" borderId="3" xfId="0" applyNumberFormat="1" applyFont="1" applyFill="1" applyBorder="1" applyAlignment="1">
      <alignment horizontal="right" vertical="center" wrapText="1"/>
    </xf>
    <xf numFmtId="3" fontId="17" fillId="13" borderId="3" xfId="0" applyNumberFormat="1" applyFont="1" applyFill="1" applyBorder="1" applyAlignment="1">
      <alignment horizontal="right" vertical="center" wrapText="1"/>
    </xf>
    <xf numFmtId="0" fontId="1" fillId="6" borderId="3" xfId="0" applyFont="1" applyFill="1" applyBorder="1" applyAlignment="1">
      <alignment horizontal="right" wrapText="1"/>
    </xf>
    <xf numFmtId="0" fontId="0" fillId="10" borderId="0" xfId="0" applyFill="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3" fontId="8" fillId="9" borderId="4"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5" xfId="0" applyFont="1" applyFill="1" applyBorder="1" applyAlignment="1">
      <alignment vertical="center" wrapText="1"/>
    </xf>
    <xf numFmtId="3" fontId="22" fillId="10" borderId="4" xfId="0" applyNumberFormat="1" applyFont="1" applyFill="1" applyBorder="1" applyAlignment="1">
      <alignment horizontal="right" vertical="center" wrapText="1"/>
    </xf>
    <xf numFmtId="0" fontId="7" fillId="2" borderId="1" xfId="0" applyFont="1" applyFill="1" applyBorder="1" applyAlignment="1">
      <alignment horizontal="center" vertical="center"/>
    </xf>
    <xf numFmtId="3" fontId="7" fillId="2" borderId="9"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164" fontId="1" fillId="0" borderId="0" xfId="0" applyNumberFormat="1" applyFont="1" applyAlignment="1">
      <alignment vertical="center"/>
    </xf>
    <xf numFmtId="164" fontId="1" fillId="0" borderId="0" xfId="2" applyNumberFormat="1" applyFont="1"/>
    <xf numFmtId="3" fontId="11" fillId="17" borderId="4" xfId="0" applyNumberFormat="1" applyFont="1" applyFill="1" applyBorder="1" applyAlignment="1">
      <alignment horizontal="right" vertical="center" wrapText="1"/>
    </xf>
    <xf numFmtId="0" fontId="21" fillId="2" borderId="5" xfId="0" applyFont="1" applyFill="1" applyBorder="1" applyAlignment="1">
      <alignment horizontal="right" vertical="center" wrapText="1"/>
    </xf>
    <xf numFmtId="0" fontId="21" fillId="2" borderId="4" xfId="0" applyFont="1" applyFill="1" applyBorder="1" applyAlignment="1">
      <alignment horizontal="right" vertical="center" wrapText="1"/>
    </xf>
    <xf numFmtId="3" fontId="11" fillId="17" borderId="3" xfId="0" applyNumberFormat="1" applyFont="1" applyFill="1" applyBorder="1" applyAlignment="1">
      <alignment horizontal="right" vertical="center" wrapText="1"/>
    </xf>
    <xf numFmtId="3" fontId="17" fillId="17" borderId="3" xfId="0" applyNumberFormat="1" applyFont="1" applyFill="1" applyBorder="1" applyAlignment="1">
      <alignment horizontal="right" vertical="center" wrapText="1"/>
    </xf>
    <xf numFmtId="0" fontId="18" fillId="17" borderId="5" xfId="0" applyFont="1" applyFill="1" applyBorder="1" applyAlignment="1">
      <alignment horizontal="right" vertical="center" wrapText="1"/>
    </xf>
    <xf numFmtId="3" fontId="17" fillId="17" borderId="4" xfId="0" applyNumberFormat="1" applyFont="1" applyFill="1" applyBorder="1" applyAlignment="1">
      <alignment horizontal="right" vertical="center" wrapText="1"/>
    </xf>
    <xf numFmtId="0" fontId="21" fillId="13" borderId="5" xfId="0" applyFont="1" applyFill="1" applyBorder="1" applyAlignment="1">
      <alignment horizontal="right" vertical="center" wrapText="1"/>
    </xf>
    <xf numFmtId="3" fontId="22" fillId="13" borderId="3" xfId="0" applyNumberFormat="1" applyFont="1" applyFill="1" applyBorder="1" applyAlignment="1">
      <alignment horizontal="right" vertical="center" wrapText="1"/>
    </xf>
    <xf numFmtId="164" fontId="0" fillId="0" borderId="0" xfId="2" applyNumberFormat="1" applyFont="1"/>
    <xf numFmtId="3" fontId="4" fillId="17" borderId="1" xfId="0" applyNumberFormat="1" applyFont="1" applyFill="1" applyBorder="1" applyAlignment="1">
      <alignment vertical="center" wrapText="1"/>
    </xf>
    <xf numFmtId="0" fontId="5" fillId="7" borderId="10" xfId="0" applyFont="1" applyFill="1" applyBorder="1" applyAlignment="1">
      <alignment vertical="center" wrapText="1"/>
    </xf>
    <xf numFmtId="0" fontId="5" fillId="7" borderId="3" xfId="0" applyFont="1" applyFill="1" applyBorder="1" applyAlignment="1">
      <alignment wrapText="1"/>
    </xf>
    <xf numFmtId="0" fontId="5" fillId="9" borderId="3" xfId="0" applyFont="1" applyFill="1" applyBorder="1" applyAlignment="1">
      <alignment vertical="center" wrapText="1"/>
    </xf>
    <xf numFmtId="0" fontId="5" fillId="13" borderId="10" xfId="0" applyFont="1" applyFill="1" applyBorder="1" applyAlignment="1">
      <alignment vertical="center" wrapText="1"/>
    </xf>
    <xf numFmtId="0" fontId="5" fillId="13" borderId="3" xfId="0" applyFont="1" applyFill="1" applyBorder="1" applyAlignment="1">
      <alignment vertical="center" wrapText="1"/>
    </xf>
    <xf numFmtId="3" fontId="11" fillId="4" borderId="1" xfId="0" applyNumberFormat="1" applyFont="1" applyFill="1" applyBorder="1" applyAlignment="1">
      <alignment vertical="center" wrapText="1"/>
    </xf>
    <xf numFmtId="164" fontId="22" fillId="2" borderId="4" xfId="2" applyNumberFormat="1" applyFont="1" applyFill="1" applyBorder="1" applyAlignment="1">
      <alignment horizontal="right" vertical="center" wrapText="1"/>
    </xf>
    <xf numFmtId="3" fontId="11" fillId="10" borderId="1" xfId="0" applyNumberFormat="1" applyFont="1" applyFill="1" applyBorder="1" applyAlignment="1">
      <alignment horizontal="right" vertical="center" wrapText="1"/>
    </xf>
    <xf numFmtId="3" fontId="22" fillId="10" borderId="1" xfId="0" applyNumberFormat="1" applyFont="1" applyFill="1" applyBorder="1" applyAlignment="1">
      <alignment horizontal="right" vertical="center" wrapText="1"/>
    </xf>
    <xf numFmtId="3" fontId="17" fillId="10" borderId="1" xfId="0" applyNumberFormat="1" applyFont="1" applyFill="1" applyBorder="1" applyAlignment="1">
      <alignment horizontal="right" vertical="center" wrapText="1"/>
    </xf>
    <xf numFmtId="3" fontId="17" fillId="17" borderId="1" xfId="0" applyNumberFormat="1" applyFont="1" applyFill="1" applyBorder="1" applyAlignment="1">
      <alignment horizontal="right" vertical="center" wrapText="1"/>
    </xf>
    <xf numFmtId="3" fontId="11" fillId="17" borderId="1" xfId="0" applyNumberFormat="1" applyFont="1" applyFill="1" applyBorder="1" applyAlignment="1">
      <alignment horizontal="right" vertical="center" wrapText="1"/>
    </xf>
    <xf numFmtId="164" fontId="20" fillId="7" borderId="3" xfId="2" applyNumberFormat="1" applyFont="1" applyFill="1" applyBorder="1" applyAlignment="1">
      <alignment horizontal="center" vertical="center" wrapText="1"/>
    </xf>
    <xf numFmtId="164" fontId="20" fillId="7" borderId="10" xfId="2" applyNumberFormat="1" applyFont="1" applyFill="1" applyBorder="1" applyAlignment="1">
      <alignment horizontal="center" vertical="center" wrapText="1"/>
    </xf>
    <xf numFmtId="3" fontId="17" fillId="9" borderId="1" xfId="0" applyNumberFormat="1" applyFont="1" applyFill="1" applyBorder="1" applyAlignment="1">
      <alignment horizontal="right" vertical="center" wrapText="1"/>
    </xf>
    <xf numFmtId="3" fontId="11" fillId="9" borderId="1" xfId="0" applyNumberFormat="1" applyFont="1" applyFill="1" applyBorder="1" applyAlignment="1">
      <alignment horizontal="right" vertical="center" wrapText="1"/>
    </xf>
    <xf numFmtId="164" fontId="19" fillId="0" borderId="0" xfId="2" applyNumberFormat="1" applyFont="1"/>
    <xf numFmtId="8" fontId="19" fillId="0" borderId="0" xfId="0" applyNumberFormat="1" applyFont="1" applyAlignment="1">
      <alignment horizontal="center" vertical="center" wrapText="1"/>
    </xf>
    <xf numFmtId="0" fontId="0" fillId="17" borderId="0" xfId="0" applyFill="1" applyAlignment="1">
      <alignment horizontal="center" vertical="center" wrapText="1"/>
    </xf>
    <xf numFmtId="3" fontId="11" fillId="17" borderId="1" xfId="0" applyNumberFormat="1" applyFont="1" applyFill="1" applyBorder="1" applyAlignment="1">
      <alignment vertical="center" wrapText="1"/>
    </xf>
    <xf numFmtId="3" fontId="8" fillId="16" borderId="1" xfId="0" applyNumberFormat="1" applyFont="1" applyFill="1" applyBorder="1" applyAlignment="1">
      <alignment horizontal="right" vertical="center" wrapText="1"/>
    </xf>
    <xf numFmtId="164" fontId="20" fillId="2" borderId="3" xfId="2" applyNumberFormat="1" applyFont="1" applyFill="1" applyBorder="1" applyAlignment="1">
      <alignment vertical="center" wrapText="1"/>
    </xf>
    <xf numFmtId="164" fontId="17" fillId="2" borderId="1" xfId="2" applyNumberFormat="1" applyFont="1" applyFill="1" applyBorder="1" applyAlignment="1">
      <alignment vertical="center" wrapText="1"/>
    </xf>
    <xf numFmtId="164" fontId="17" fillId="17" borderId="1" xfId="2" applyNumberFormat="1" applyFont="1" applyFill="1" applyBorder="1" applyAlignment="1">
      <alignment vertical="center" wrapText="1"/>
    </xf>
    <xf numFmtId="3" fontId="17" fillId="2" borderId="3" xfId="0" applyNumberFormat="1" applyFont="1" applyFill="1" applyBorder="1" applyAlignment="1">
      <alignment horizontal="right" vertical="center" wrapText="1"/>
    </xf>
    <xf numFmtId="3" fontId="8" fillId="7" borderId="1" xfId="0" applyNumberFormat="1" applyFont="1" applyFill="1" applyBorder="1" applyAlignment="1">
      <alignment horizontal="center" vertical="center" wrapText="1"/>
    </xf>
    <xf numFmtId="3" fontId="17" fillId="7" borderId="1" xfId="0" applyNumberFormat="1" applyFont="1" applyFill="1" applyBorder="1" applyAlignment="1">
      <alignment horizontal="right" vertical="center" wrapText="1"/>
    </xf>
    <xf numFmtId="3" fontId="22" fillId="7" borderId="1" xfId="0" applyNumberFormat="1" applyFont="1" applyFill="1" applyBorder="1" applyAlignment="1">
      <alignment horizontal="right" vertical="center" wrapText="1"/>
    </xf>
    <xf numFmtId="3" fontId="11" fillId="7" borderId="1" xfId="0" applyNumberFormat="1" applyFont="1" applyFill="1" applyBorder="1" applyAlignment="1">
      <alignment horizontal="right" vertical="center" wrapText="1"/>
    </xf>
    <xf numFmtId="3" fontId="8" fillId="6" borderId="1" xfId="0" applyNumberFormat="1" applyFont="1" applyFill="1" applyBorder="1" applyAlignment="1">
      <alignment horizontal="right" wrapText="1"/>
    </xf>
    <xf numFmtId="0" fontId="19" fillId="2" borderId="3" xfId="0" applyFont="1" applyFill="1" applyBorder="1" applyAlignment="1">
      <alignment horizontal="left" vertical="center" wrapText="1"/>
    </xf>
    <xf numFmtId="6" fontId="16" fillId="0" borderId="0" xfId="0" applyNumberFormat="1" applyFont="1" applyAlignment="1">
      <alignment horizontal="center" vertical="center" wrapText="1"/>
    </xf>
    <xf numFmtId="164" fontId="1" fillId="0" borderId="0" xfId="2" applyNumberFormat="1" applyFont="1" applyAlignment="1">
      <alignment vertical="center"/>
    </xf>
    <xf numFmtId="166" fontId="0" fillId="0" borderId="0" xfId="2" applyNumberFormat="1" applyFont="1"/>
    <xf numFmtId="44" fontId="0" fillId="0" borderId="0" xfId="0" applyNumberFormat="1"/>
    <xf numFmtId="0" fontId="18" fillId="2" borderId="5" xfId="0" applyFont="1" applyFill="1" applyBorder="1" applyAlignment="1">
      <alignment horizontal="right" vertical="center" wrapText="1"/>
    </xf>
    <xf numFmtId="0" fontId="19" fillId="2" borderId="7"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3" xfId="0" applyFont="1" applyFill="1" applyBorder="1" applyAlignment="1">
      <alignment horizontal="center" vertical="center" wrapText="1"/>
    </xf>
    <xf numFmtId="16" fontId="19" fillId="2" borderId="1" xfId="0" applyNumberFormat="1" applyFont="1" applyFill="1" applyBorder="1" applyAlignment="1">
      <alignment horizontal="center" vertical="center"/>
    </xf>
    <xf numFmtId="3" fontId="19" fillId="13" borderId="27" xfId="0" applyNumberFormat="1" applyFont="1" applyFill="1" applyBorder="1" applyAlignment="1">
      <alignment horizontal="center" vertical="center" wrapText="1"/>
    </xf>
    <xf numFmtId="3" fontId="19" fillId="13" borderId="5" xfId="0" applyNumberFormat="1" applyFont="1" applyFill="1" applyBorder="1" applyAlignment="1">
      <alignment horizontal="center" vertical="center" wrapText="1"/>
    </xf>
    <xf numFmtId="0" fontId="19" fillId="7" borderId="3" xfId="0" applyFont="1" applyFill="1" applyBorder="1" applyAlignment="1">
      <alignment horizontal="center" vertical="center" wrapText="1"/>
    </xf>
    <xf numFmtId="3" fontId="5" fillId="7" borderId="42" xfId="0" applyNumberFormat="1" applyFont="1" applyFill="1" applyBorder="1" applyAlignment="1">
      <alignment horizontal="center" vertical="center" wrapText="1"/>
    </xf>
    <xf numFmtId="3" fontId="5" fillId="7" borderId="20" xfId="0" applyNumberFormat="1" applyFont="1" applyFill="1" applyBorder="1" applyAlignment="1">
      <alignment horizontal="center" vertical="center" wrapText="1"/>
    </xf>
    <xf numFmtId="0" fontId="19" fillId="9" borderId="3" xfId="0" applyFont="1" applyFill="1" applyBorder="1" applyAlignment="1">
      <alignment horizontal="center" vertical="center" wrapText="1"/>
    </xf>
    <xf numFmtId="3" fontId="6" fillId="10" borderId="1" xfId="0" applyNumberFormat="1" applyFont="1" applyFill="1" applyBorder="1" applyAlignment="1">
      <alignment horizontal="right" vertical="center" wrapText="1"/>
    </xf>
    <xf numFmtId="0" fontId="1" fillId="6" borderId="3" xfId="0" applyFont="1" applyFill="1" applyBorder="1" applyAlignment="1">
      <alignment wrapText="1"/>
    </xf>
    <xf numFmtId="0" fontId="1" fillId="6" borderId="4" xfId="0" applyFont="1" applyFill="1" applyBorder="1" applyAlignment="1">
      <alignment wrapText="1"/>
    </xf>
    <xf numFmtId="3" fontId="7" fillId="9" borderId="1" xfId="0" applyNumberFormat="1" applyFont="1" applyFill="1" applyBorder="1" applyAlignment="1">
      <alignment horizontal="center" vertical="center" wrapText="1"/>
    </xf>
    <xf numFmtId="8" fontId="0" fillId="0" borderId="0" xfId="0" applyNumberFormat="1"/>
    <xf numFmtId="4" fontId="1" fillId="0" borderId="0" xfId="0" applyNumberFormat="1" applyFont="1"/>
    <xf numFmtId="4" fontId="1" fillId="0" borderId="16" xfId="0" applyNumberFormat="1" applyFont="1" applyBorder="1" applyAlignment="1">
      <alignment horizontal="right" vertical="center" wrapText="1"/>
    </xf>
    <xf numFmtId="43" fontId="1" fillId="0" borderId="0" xfId="2" applyFont="1"/>
    <xf numFmtId="164" fontId="7" fillId="0" borderId="0" xfId="2" applyNumberFormat="1" applyFont="1"/>
    <xf numFmtId="3" fontId="22" fillId="10" borderId="3" xfId="0" applyNumberFormat="1" applyFont="1" applyFill="1" applyBorder="1" applyAlignment="1">
      <alignment horizontal="right" vertical="center" wrapText="1"/>
    </xf>
    <xf numFmtId="3" fontId="5" fillId="2" borderId="15" xfId="0" applyNumberFormat="1" applyFont="1" applyFill="1" applyBorder="1" applyAlignment="1">
      <alignment horizontal="center" vertical="center" wrapText="1"/>
    </xf>
    <xf numFmtId="0" fontId="7" fillId="2" borderId="6" xfId="0" applyFont="1" applyFill="1" applyBorder="1" applyAlignment="1">
      <alignment vertical="center" wrapText="1"/>
    </xf>
    <xf numFmtId="0" fontId="0" fillId="18" borderId="27" xfId="0" applyFill="1" applyBorder="1" applyAlignment="1">
      <alignment horizontal="center" vertical="center"/>
    </xf>
    <xf numFmtId="0" fontId="0" fillId="18" borderId="4" xfId="0" applyFill="1" applyBorder="1" applyAlignment="1">
      <alignment wrapText="1"/>
    </xf>
    <xf numFmtId="0" fontId="0" fillId="18" borderId="4" xfId="0" applyFill="1" applyBorder="1" applyAlignment="1">
      <alignment horizontal="center" vertical="center" wrapText="1"/>
    </xf>
    <xf numFmtId="0" fontId="0" fillId="18" borderId="4" xfId="0" applyFill="1" applyBorder="1" applyAlignment="1">
      <alignment horizontal="center" vertical="center"/>
    </xf>
    <xf numFmtId="0" fontId="3" fillId="18" borderId="5" xfId="0" applyFont="1" applyFill="1" applyBorder="1" applyAlignment="1">
      <alignment horizontal="right" vertical="center" wrapText="1"/>
    </xf>
    <xf numFmtId="3" fontId="1" fillId="18" borderId="1" xfId="0" applyNumberFormat="1" applyFont="1" applyFill="1" applyBorder="1" applyAlignment="1">
      <alignment horizontal="right" vertical="center" wrapText="1"/>
    </xf>
    <xf numFmtId="3" fontId="1" fillId="18" borderId="1" xfId="0" applyNumberFormat="1" applyFont="1" applyFill="1" applyBorder="1" applyAlignment="1">
      <alignment horizontal="center" vertical="center" wrapText="1"/>
    </xf>
    <xf numFmtId="3" fontId="1" fillId="18" borderId="9" xfId="0" applyNumberFormat="1" applyFont="1" applyFill="1" applyBorder="1" applyAlignment="1">
      <alignment horizontal="center" vertical="center" wrapText="1"/>
    </xf>
    <xf numFmtId="3" fontId="1" fillId="18" borderId="4" xfId="0" applyNumberFormat="1" applyFont="1" applyFill="1" applyBorder="1" applyAlignment="1">
      <alignment horizontal="right" vertical="center" wrapText="1"/>
    </xf>
    <xf numFmtId="3" fontId="1" fillId="18" borderId="27" xfId="0" applyNumberFormat="1" applyFont="1" applyFill="1" applyBorder="1" applyAlignment="1">
      <alignment horizontal="center" vertical="center" wrapText="1"/>
    </xf>
    <xf numFmtId="3" fontId="1" fillId="18" borderId="4" xfId="0" applyNumberFormat="1" applyFont="1" applyFill="1" applyBorder="1" applyAlignment="1">
      <alignment horizontal="center" vertical="center" wrapText="1"/>
    </xf>
    <xf numFmtId="3" fontId="7" fillId="2" borderId="27"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3" fontId="7" fillId="2" borderId="5" xfId="0" applyNumberFormat="1" applyFont="1" applyFill="1" applyBorder="1" applyAlignment="1">
      <alignment horizontal="center" vertical="center" wrapText="1"/>
    </xf>
    <xf numFmtId="3" fontId="20" fillId="2" borderId="9" xfId="0" applyNumberFormat="1" applyFont="1" applyFill="1" applyBorder="1" applyAlignment="1">
      <alignment horizontal="right" vertical="center" wrapText="1"/>
    </xf>
    <xf numFmtId="43" fontId="0" fillId="0" borderId="0" xfId="0" applyNumberFormat="1"/>
    <xf numFmtId="164" fontId="0" fillId="2" borderId="0" xfId="2" applyNumberFormat="1" applyFont="1" applyFill="1"/>
    <xf numFmtId="9" fontId="0" fillId="0" borderId="0" xfId="0" applyNumberFormat="1"/>
    <xf numFmtId="3" fontId="24" fillId="2"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12" fillId="9" borderId="3" xfId="0" applyFont="1" applyFill="1" applyBorder="1" applyAlignment="1">
      <alignment horizontal="right" vertical="center" wrapText="1"/>
    </xf>
    <xf numFmtId="0" fontId="12" fillId="9" borderId="4" xfId="0" applyFont="1" applyFill="1" applyBorder="1" applyAlignment="1">
      <alignment horizontal="right" vertical="center" wrapText="1"/>
    </xf>
    <xf numFmtId="0" fontId="12" fillId="9" borderId="5" xfId="0" applyFont="1" applyFill="1" applyBorder="1" applyAlignment="1">
      <alignment horizontal="right" vertical="center" wrapText="1"/>
    </xf>
    <xf numFmtId="0" fontId="1" fillId="8" borderId="3" xfId="0" applyFont="1" applyFill="1" applyBorder="1" applyAlignment="1">
      <alignment horizontal="right" wrapText="1"/>
    </xf>
    <xf numFmtId="0" fontId="1" fillId="8" borderId="4" xfId="0" applyFont="1" applyFill="1" applyBorder="1" applyAlignment="1">
      <alignment horizontal="right" wrapText="1"/>
    </xf>
    <xf numFmtId="0" fontId="1" fillId="8" borderId="5" xfId="0" applyFont="1" applyFill="1" applyBorder="1" applyAlignment="1">
      <alignment horizontal="right" wrapText="1"/>
    </xf>
    <xf numFmtId="0" fontId="1" fillId="4" borderId="14"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3" fillId="17" borderId="3" xfId="0" applyFont="1" applyFill="1" applyBorder="1" applyAlignment="1">
      <alignment horizontal="right" vertical="center" wrapText="1"/>
    </xf>
    <xf numFmtId="0" fontId="3" fillId="17" borderId="4" xfId="0" applyFont="1" applyFill="1" applyBorder="1" applyAlignment="1">
      <alignment horizontal="right" vertical="center" wrapText="1"/>
    </xf>
    <xf numFmtId="0" fontId="3" fillId="17" borderId="5"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21" fillId="2" borderId="4" xfId="0" applyFont="1" applyFill="1" applyBorder="1" applyAlignment="1">
      <alignment horizontal="right" vertical="center" wrapText="1"/>
    </xf>
    <xf numFmtId="0" fontId="21" fillId="2" borderId="5" xfId="0" applyFont="1" applyFill="1" applyBorder="1" applyAlignment="1">
      <alignment horizontal="right" vertical="center" wrapText="1"/>
    </xf>
    <xf numFmtId="0" fontId="1" fillId="10" borderId="14" xfId="0" applyFont="1" applyFill="1" applyBorder="1" applyAlignment="1">
      <alignment horizontal="center" vertical="center"/>
    </xf>
    <xf numFmtId="0" fontId="1" fillId="10" borderId="37" xfId="0" applyFont="1" applyFill="1" applyBorder="1" applyAlignment="1">
      <alignment horizontal="center" vertical="center"/>
    </xf>
    <xf numFmtId="0" fontId="8" fillId="10" borderId="1" xfId="0" applyFont="1" applyFill="1" applyBorder="1" applyAlignment="1">
      <alignment horizontal="left" vertical="center" wrapText="1"/>
    </xf>
    <xf numFmtId="0" fontId="5" fillId="10" borderId="6"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6"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1" fillId="16" borderId="3" xfId="0" applyFont="1" applyFill="1" applyBorder="1" applyAlignment="1">
      <alignment horizontal="right" vertical="center" wrapText="1"/>
    </xf>
    <xf numFmtId="0" fontId="1" fillId="16" borderId="4" xfId="0" applyFont="1" applyFill="1" applyBorder="1" applyAlignment="1">
      <alignment horizontal="right" vertical="center" wrapText="1"/>
    </xf>
    <xf numFmtId="0" fontId="1" fillId="16" borderId="5" xfId="0" applyFont="1" applyFill="1" applyBorder="1" applyAlignment="1">
      <alignment horizontal="right" vertical="center" wrapText="1"/>
    </xf>
    <xf numFmtId="0" fontId="12" fillId="10" borderId="3" xfId="0" applyFont="1" applyFill="1" applyBorder="1" applyAlignment="1">
      <alignment horizontal="right" vertical="center" wrapText="1"/>
    </xf>
    <xf numFmtId="0" fontId="12" fillId="10" borderId="4" xfId="0" applyFont="1" applyFill="1" applyBorder="1" applyAlignment="1">
      <alignment horizontal="right" vertical="center" wrapText="1"/>
    </xf>
    <xf numFmtId="0" fontId="12" fillId="10" borderId="5" xfId="0" applyFont="1" applyFill="1" applyBorder="1" applyAlignment="1">
      <alignment horizontal="right"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12" fillId="17" borderId="3" xfId="0" applyFont="1" applyFill="1" applyBorder="1" applyAlignment="1">
      <alignment horizontal="right" vertical="center" wrapText="1"/>
    </xf>
    <xf numFmtId="0" fontId="12" fillId="17" borderId="4" xfId="0" applyFont="1" applyFill="1" applyBorder="1" applyAlignment="1">
      <alignment horizontal="right" vertical="center" wrapText="1"/>
    </xf>
    <xf numFmtId="0" fontId="12" fillId="17" borderId="5" xfId="0" applyFont="1" applyFill="1" applyBorder="1" applyAlignment="1">
      <alignment horizontal="right" vertical="center" wrapText="1"/>
    </xf>
    <xf numFmtId="9" fontId="12" fillId="17" borderId="3" xfId="0" applyNumberFormat="1" applyFont="1" applyFill="1" applyBorder="1" applyAlignment="1">
      <alignment horizontal="right" vertical="center" wrapText="1"/>
    </xf>
    <xf numFmtId="9" fontId="12" fillId="17" borderId="4" xfId="0" applyNumberFormat="1" applyFont="1" applyFill="1" applyBorder="1" applyAlignment="1">
      <alignment horizontal="right" vertical="center" wrapText="1"/>
    </xf>
    <xf numFmtId="9" fontId="12" fillId="17" borderId="5" xfId="0" applyNumberFormat="1" applyFont="1" applyFill="1" applyBorder="1" applyAlignment="1">
      <alignment horizontal="right" vertical="center" wrapText="1"/>
    </xf>
    <xf numFmtId="0" fontId="8" fillId="5" borderId="3" xfId="0" applyFont="1" applyFill="1" applyBorder="1" applyAlignment="1">
      <alignment horizontal="right" wrapText="1"/>
    </xf>
    <xf numFmtId="0" fontId="8" fillId="5" borderId="4" xfId="0" applyFont="1" applyFill="1" applyBorder="1" applyAlignment="1">
      <alignment horizontal="right" wrapText="1"/>
    </xf>
    <xf numFmtId="0" fontId="8" fillId="5" borderId="5" xfId="0" applyFont="1" applyFill="1" applyBorder="1" applyAlignment="1">
      <alignment horizontal="right" wrapText="1"/>
    </xf>
    <xf numFmtId="0" fontId="5" fillId="7"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6"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13" borderId="6"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7" xfId="0" applyFont="1" applyFill="1" applyBorder="1" applyAlignment="1">
      <alignment horizontal="left" vertical="center" wrapText="1"/>
    </xf>
    <xf numFmtId="0" fontId="21" fillId="10" borderId="4" xfId="0" applyFont="1" applyFill="1" applyBorder="1" applyAlignment="1">
      <alignment horizontal="right" vertical="center" wrapText="1"/>
    </xf>
    <xf numFmtId="0" fontId="21" fillId="10" borderId="5" xfId="0" applyFont="1" applyFill="1" applyBorder="1" applyAlignment="1">
      <alignment horizontal="right" vertical="center" wrapText="1"/>
    </xf>
    <xf numFmtId="0" fontId="1" fillId="7" borderId="6"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12" fillId="7" borderId="3" xfId="0" applyFont="1" applyFill="1" applyBorder="1" applyAlignment="1">
      <alignment horizontal="right" vertical="center" wrapText="1"/>
    </xf>
    <xf numFmtId="0" fontId="12" fillId="7" borderId="4" xfId="0" applyFont="1" applyFill="1" applyBorder="1" applyAlignment="1">
      <alignment horizontal="right" vertical="center" wrapText="1"/>
    </xf>
    <xf numFmtId="0" fontId="12" fillId="7" borderId="5" xfId="0" applyFont="1" applyFill="1" applyBorder="1" applyAlignment="1">
      <alignment horizontal="right" vertical="center" wrapText="1"/>
    </xf>
    <xf numFmtId="0" fontId="5" fillId="7" borderId="10"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6" xfId="0" applyFont="1" applyFill="1" applyBorder="1" applyAlignment="1">
      <alignment horizontal="left" vertical="center" wrapText="1"/>
    </xf>
    <xf numFmtId="0" fontId="5" fillId="9" borderId="7" xfId="0" applyFont="1" applyFill="1" applyBorder="1" applyAlignment="1">
      <alignment horizontal="left" vertical="center" wrapText="1"/>
    </xf>
    <xf numFmtId="0" fontId="8" fillId="13" borderId="3" xfId="0" applyFont="1" applyFill="1" applyBorder="1" applyAlignment="1">
      <alignment horizontal="right" wrapText="1"/>
    </xf>
    <xf numFmtId="0" fontId="8" fillId="13" borderId="4" xfId="0" applyFont="1" applyFill="1" applyBorder="1" applyAlignment="1">
      <alignment horizontal="right" wrapText="1"/>
    </xf>
    <xf numFmtId="0" fontId="8" fillId="13" borderId="5" xfId="0" applyFont="1" applyFill="1" applyBorder="1" applyAlignment="1">
      <alignment horizontal="right" wrapText="1"/>
    </xf>
    <xf numFmtId="0" fontId="1" fillId="0" borderId="33" xfId="0" applyFont="1" applyBorder="1" applyAlignment="1">
      <alignment horizontal="right" vertical="center"/>
    </xf>
    <xf numFmtId="0" fontId="1" fillId="0" borderId="39" xfId="0" applyFont="1" applyBorder="1" applyAlignment="1">
      <alignment horizontal="right" vertical="center"/>
    </xf>
    <xf numFmtId="0" fontId="1" fillId="0" borderId="40" xfId="0" applyFont="1" applyBorder="1" applyAlignment="1">
      <alignment horizontal="right" vertical="center"/>
    </xf>
    <xf numFmtId="0" fontId="12" fillId="13" borderId="3" xfId="0" applyFont="1" applyFill="1" applyBorder="1" applyAlignment="1">
      <alignment horizontal="right" vertical="center" wrapText="1"/>
    </xf>
    <xf numFmtId="0" fontId="12" fillId="13" borderId="4" xfId="0" applyFont="1" applyFill="1" applyBorder="1" applyAlignment="1">
      <alignment horizontal="right" vertical="center" wrapText="1"/>
    </xf>
    <xf numFmtId="0" fontId="12" fillId="13" borderId="5" xfId="0" applyFont="1" applyFill="1" applyBorder="1" applyAlignment="1">
      <alignment horizontal="right" vertical="center" wrapText="1"/>
    </xf>
    <xf numFmtId="0" fontId="8" fillId="13" borderId="14" xfId="0" applyFont="1" applyFill="1" applyBorder="1" applyAlignment="1">
      <alignment horizontal="center" vertical="center"/>
    </xf>
    <xf numFmtId="0" fontId="8" fillId="13" borderId="37" xfId="0" applyFont="1" applyFill="1" applyBorder="1" applyAlignment="1">
      <alignment horizontal="center" vertical="center"/>
    </xf>
    <xf numFmtId="0" fontId="8" fillId="13" borderId="6"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8" fillId="13" borderId="7" xfId="0" applyFont="1" applyFill="1" applyBorder="1" applyAlignment="1">
      <alignment horizontal="left" vertical="center" wrapText="1"/>
    </xf>
    <xf numFmtId="0" fontId="8" fillId="13" borderId="6"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18" fillId="13" borderId="3" xfId="0" applyFont="1" applyFill="1" applyBorder="1" applyAlignment="1">
      <alignment horizontal="right" vertical="center" wrapText="1"/>
    </xf>
    <xf numFmtId="0" fontId="18" fillId="13" borderId="4" xfId="0" applyFont="1" applyFill="1" applyBorder="1" applyAlignment="1">
      <alignment horizontal="right" vertical="center" wrapText="1"/>
    </xf>
    <xf numFmtId="0" fontId="18" fillId="13" borderId="5" xfId="0" applyFont="1" applyFill="1" applyBorder="1" applyAlignment="1">
      <alignment horizontal="right" vertical="center" wrapText="1"/>
    </xf>
    <xf numFmtId="0" fontId="5" fillId="13" borderId="6"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7"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38" xfId="0" applyFont="1" applyFill="1" applyBorder="1" applyAlignment="1">
      <alignment horizontal="center" vertical="center"/>
    </xf>
    <xf numFmtId="0" fontId="0" fillId="9" borderId="14" xfId="0" applyFill="1" applyBorder="1" applyAlignment="1">
      <alignment horizontal="center" vertical="center"/>
    </xf>
    <xf numFmtId="0" fontId="0" fillId="9" borderId="37" xfId="0" applyFill="1" applyBorder="1" applyAlignment="1">
      <alignment horizontal="center" vertical="center"/>
    </xf>
    <xf numFmtId="0" fontId="0" fillId="9" borderId="38" xfId="0" applyFill="1" applyBorder="1" applyAlignment="1">
      <alignment horizontal="center" vertical="center"/>
    </xf>
    <xf numFmtId="0" fontId="1" fillId="9" borderId="6"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8" fillId="7" borderId="4" xfId="0" applyFont="1" applyFill="1" applyBorder="1" applyAlignment="1">
      <alignment horizontal="right" vertical="center" wrapText="1"/>
    </xf>
    <xf numFmtId="0" fontId="18" fillId="7" borderId="5" xfId="0" applyFont="1" applyFill="1" applyBorder="1" applyAlignment="1">
      <alignment horizontal="right" vertical="center" wrapText="1"/>
    </xf>
    <xf numFmtId="0" fontId="1" fillId="9" borderId="1" xfId="0" applyFont="1" applyFill="1" applyBorder="1" applyAlignment="1">
      <alignment horizontal="left"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3" fillId="10" borderId="3" xfId="0" applyFont="1" applyFill="1" applyBorder="1" applyAlignment="1">
      <alignment horizontal="right" vertical="center" wrapText="1"/>
    </xf>
    <xf numFmtId="0" fontId="3" fillId="10" borderId="4" xfId="0" applyFont="1" applyFill="1" applyBorder="1" applyAlignment="1">
      <alignment horizontal="right" vertical="center" wrapText="1"/>
    </xf>
    <xf numFmtId="0" fontId="3" fillId="10" borderId="5" xfId="0" applyFont="1" applyFill="1" applyBorder="1" applyAlignment="1">
      <alignment horizontal="righ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4" borderId="3" xfId="0" applyFont="1" applyFill="1" applyBorder="1" applyAlignment="1">
      <alignment horizontal="right" vertical="center" wrapText="1"/>
    </xf>
    <xf numFmtId="0" fontId="1" fillId="4" borderId="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5" borderId="3" xfId="0" applyFont="1" applyFill="1" applyBorder="1" applyAlignment="1">
      <alignment horizontal="right" wrapText="1"/>
    </xf>
    <xf numFmtId="0" fontId="1" fillId="5" borderId="4" xfId="0" applyFont="1" applyFill="1" applyBorder="1" applyAlignment="1">
      <alignment horizontal="right" wrapText="1"/>
    </xf>
    <xf numFmtId="0" fontId="1" fillId="5" borderId="5" xfId="0" applyFont="1" applyFill="1" applyBorder="1" applyAlignment="1">
      <alignment horizontal="right" wrapText="1"/>
    </xf>
    <xf numFmtId="0" fontId="1" fillId="6" borderId="3" xfId="0" applyFont="1" applyFill="1" applyBorder="1" applyAlignment="1">
      <alignment horizontal="right" wrapText="1"/>
    </xf>
    <xf numFmtId="0" fontId="1" fillId="6" borderId="4" xfId="0" applyFont="1" applyFill="1" applyBorder="1" applyAlignment="1">
      <alignment horizontal="right" wrapText="1"/>
    </xf>
    <xf numFmtId="0" fontId="1" fillId="6" borderId="5" xfId="0" applyFont="1" applyFill="1" applyBorder="1" applyAlignment="1">
      <alignment horizontal="right" wrapText="1"/>
    </xf>
    <xf numFmtId="0" fontId="1" fillId="2" borderId="3" xfId="0" applyFont="1" applyFill="1" applyBorder="1" applyAlignment="1">
      <alignment horizontal="right" wrapText="1"/>
    </xf>
    <xf numFmtId="0" fontId="1" fillId="2" borderId="4" xfId="0" applyFont="1" applyFill="1" applyBorder="1" applyAlignment="1">
      <alignment horizontal="right" wrapText="1"/>
    </xf>
    <xf numFmtId="0" fontId="1" fillId="2" borderId="5" xfId="0" applyFont="1" applyFill="1" applyBorder="1" applyAlignment="1">
      <alignment horizontal="right" wrapText="1"/>
    </xf>
    <xf numFmtId="0" fontId="3" fillId="13" borderId="3" xfId="0" applyFont="1" applyFill="1" applyBorder="1" applyAlignment="1">
      <alignment horizontal="right" vertical="center" wrapText="1"/>
    </xf>
    <xf numFmtId="0" fontId="3" fillId="13" borderId="4" xfId="0" applyFont="1" applyFill="1" applyBorder="1" applyAlignment="1">
      <alignment horizontal="right" vertical="center" wrapText="1"/>
    </xf>
    <xf numFmtId="0" fontId="3" fillId="13" borderId="5" xfId="0" applyFont="1" applyFill="1" applyBorder="1" applyAlignment="1">
      <alignment horizontal="right" vertical="center" wrapText="1"/>
    </xf>
    <xf numFmtId="0" fontId="3" fillId="9" borderId="3"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3" fillId="9" borderId="5" xfId="0" applyFont="1" applyFill="1" applyBorder="1" applyAlignment="1">
      <alignment horizontal="right" vertical="center" wrapText="1"/>
    </xf>
    <xf numFmtId="3" fontId="0" fillId="0" borderId="16" xfId="0" applyNumberFormat="1" applyBorder="1" applyAlignment="1">
      <alignment horizontal="center"/>
    </xf>
    <xf numFmtId="3" fontId="0" fillId="0" borderId="0" xfId="0" applyNumberFormat="1" applyAlignment="1">
      <alignment horizontal="center"/>
    </xf>
    <xf numFmtId="3" fontId="0" fillId="0" borderId="17" xfId="0" applyNumberFormat="1" applyBorder="1" applyAlignment="1">
      <alignment horizontal="center"/>
    </xf>
    <xf numFmtId="3" fontId="0" fillId="0" borderId="12" xfId="0" applyNumberFormat="1" applyBorder="1" applyAlignment="1">
      <alignment horizont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0" fillId="13" borderId="6" xfId="0" applyFill="1" applyBorder="1" applyAlignment="1">
      <alignment horizontal="left" vertical="center" wrapText="1"/>
    </xf>
    <xf numFmtId="0" fontId="0" fillId="13" borderId="7" xfId="0" applyFill="1" applyBorder="1" applyAlignment="1">
      <alignment horizontal="left" vertical="center" wrapText="1"/>
    </xf>
    <xf numFmtId="9" fontId="3" fillId="7" borderId="3" xfId="0" applyNumberFormat="1" applyFont="1" applyFill="1" applyBorder="1" applyAlignment="1">
      <alignment horizontal="right" vertical="center" wrapText="1"/>
    </xf>
    <xf numFmtId="9" fontId="3" fillId="7" borderId="4" xfId="0" applyNumberFormat="1" applyFont="1" applyFill="1" applyBorder="1" applyAlignment="1">
      <alignment horizontal="right" vertical="center" wrapText="1"/>
    </xf>
    <xf numFmtId="9" fontId="3" fillId="7" borderId="5" xfId="0" applyNumberFormat="1" applyFont="1" applyFill="1" applyBorder="1" applyAlignment="1">
      <alignment horizontal="right" vertical="center" wrapText="1"/>
    </xf>
    <xf numFmtId="0" fontId="3" fillId="7" borderId="3" xfId="0" applyFont="1" applyFill="1" applyBorder="1" applyAlignment="1">
      <alignment horizontal="right" vertical="center" wrapText="1"/>
    </xf>
    <xf numFmtId="0" fontId="3" fillId="7" borderId="4" xfId="0" applyFont="1" applyFill="1" applyBorder="1" applyAlignment="1">
      <alignment horizontal="right" vertical="center" wrapText="1"/>
    </xf>
    <xf numFmtId="0" fontId="3" fillId="7" borderId="5" xfId="0" applyFont="1" applyFill="1" applyBorder="1" applyAlignment="1">
      <alignment horizontal="right" vertical="center" wrapText="1"/>
    </xf>
    <xf numFmtId="3" fontId="0" fillId="0" borderId="16" xfId="0" applyNumberFormat="1" applyBorder="1" applyAlignment="1">
      <alignment horizontal="left" vertical="center"/>
    </xf>
    <xf numFmtId="3" fontId="0" fillId="0" borderId="0" xfId="0" applyNumberFormat="1" applyAlignment="1">
      <alignment horizontal="left" vertical="center"/>
    </xf>
    <xf numFmtId="3" fontId="0" fillId="0" borderId="17" xfId="0" applyNumberFormat="1" applyBorder="1" applyAlignment="1">
      <alignment horizontal="left" vertical="center"/>
    </xf>
    <xf numFmtId="3" fontId="0" fillId="0" borderId="12" xfId="0" applyNumberFormat="1" applyBorder="1" applyAlignment="1">
      <alignment horizontal="left" vertical="center"/>
    </xf>
    <xf numFmtId="3" fontId="1" fillId="0" borderId="15" xfId="0" applyNumberFormat="1" applyFont="1" applyBorder="1" applyAlignment="1">
      <alignment horizontal="center"/>
    </xf>
    <xf numFmtId="3" fontId="1" fillId="0" borderId="11" xfId="0" applyNumberFormat="1" applyFont="1" applyBorder="1" applyAlignment="1">
      <alignment horizontal="center"/>
    </xf>
    <xf numFmtId="3" fontId="1" fillId="0" borderId="15" xfId="0" applyNumberFormat="1" applyFont="1" applyBorder="1" applyAlignment="1">
      <alignment horizontal="left" vertical="center"/>
    </xf>
    <xf numFmtId="3" fontId="1" fillId="0" borderId="11" xfId="0" applyNumberFormat="1" applyFont="1" applyBorder="1" applyAlignment="1">
      <alignment horizontal="left" vertical="center"/>
    </xf>
    <xf numFmtId="3" fontId="1" fillId="0" borderId="15" xfId="0" applyNumberFormat="1" applyFont="1" applyBorder="1" applyAlignment="1">
      <alignment horizontal="left"/>
    </xf>
    <xf numFmtId="3" fontId="1" fillId="0" borderId="11" xfId="0" applyNumberFormat="1" applyFont="1" applyBorder="1" applyAlignment="1">
      <alignment horizontal="left"/>
    </xf>
    <xf numFmtId="3" fontId="0" fillId="0" borderId="16" xfId="0" applyNumberFormat="1" applyBorder="1" applyAlignment="1">
      <alignment horizontal="left"/>
    </xf>
    <xf numFmtId="3" fontId="0" fillId="0" borderId="0" xfId="0" applyNumberFormat="1" applyAlignment="1">
      <alignment horizontal="left"/>
    </xf>
    <xf numFmtId="3" fontId="0" fillId="0" borderId="16" xfId="0" applyNumberFormat="1" applyBorder="1" applyAlignment="1">
      <alignment horizontal="left" vertical="top"/>
    </xf>
    <xf numFmtId="3" fontId="0" fillId="0" borderId="0" xfId="0" applyNumberFormat="1" applyAlignment="1">
      <alignment horizontal="left" vertical="top"/>
    </xf>
    <xf numFmtId="3" fontId="0" fillId="0" borderId="16" xfId="0" applyNumberFormat="1" applyBorder="1" applyAlignment="1">
      <alignment horizontal="center" vertical="top"/>
    </xf>
    <xf numFmtId="3" fontId="0" fillId="0" borderId="0" xfId="0" applyNumberFormat="1" applyAlignment="1">
      <alignment horizontal="center" vertical="top"/>
    </xf>
    <xf numFmtId="3" fontId="5" fillId="0" borderId="16" xfId="0" applyNumberFormat="1" applyFont="1" applyBorder="1" applyAlignment="1">
      <alignment horizontal="left" vertical="center"/>
    </xf>
    <xf numFmtId="3" fontId="5" fillId="0" borderId="0" xfId="0" applyNumberFormat="1" applyFont="1" applyAlignment="1">
      <alignment horizontal="left" vertical="center"/>
    </xf>
    <xf numFmtId="0" fontId="1" fillId="10" borderId="1"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0" fillId="9" borderId="6" xfId="0" applyFill="1" applyBorder="1" applyAlignment="1">
      <alignment horizontal="center" vertical="center"/>
    </xf>
    <xf numFmtId="0" fontId="0" fillId="9" borderId="2" xfId="0" applyFill="1" applyBorder="1" applyAlignment="1">
      <alignment horizontal="center" vertical="center"/>
    </xf>
    <xf numFmtId="0" fontId="0" fillId="9" borderId="7" xfId="0" applyFill="1" applyBorder="1" applyAlignment="1">
      <alignment horizontal="center" vertical="center"/>
    </xf>
    <xf numFmtId="0" fontId="1" fillId="13" borderId="6" xfId="0" applyFont="1" applyFill="1" applyBorder="1" applyAlignment="1">
      <alignment horizontal="center" vertical="center"/>
    </xf>
    <xf numFmtId="0" fontId="1" fillId="13" borderId="2" xfId="0" applyFont="1" applyFill="1" applyBorder="1" applyAlignment="1">
      <alignment horizontal="center" vertical="center"/>
    </xf>
    <xf numFmtId="0" fontId="1" fillId="13" borderId="7" xfId="0" applyFont="1" applyFill="1" applyBorder="1" applyAlignment="1">
      <alignment horizontal="center" vertical="center"/>
    </xf>
    <xf numFmtId="0" fontId="1" fillId="10" borderId="6"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 fillId="10" borderId="6"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7"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7" xfId="0" applyFont="1" applyFill="1" applyBorder="1" applyAlignment="1">
      <alignment horizontal="center" vertical="center"/>
    </xf>
    <xf numFmtId="0" fontId="1" fillId="13" borderId="6"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1" fillId="7" borderId="1" xfId="0" applyFont="1" applyFill="1" applyBorder="1" applyAlignment="1">
      <alignment horizontal="left" vertical="center" wrapText="1"/>
    </xf>
    <xf numFmtId="9" fontId="12" fillId="7" borderId="3" xfId="0" applyNumberFormat="1" applyFont="1" applyFill="1" applyBorder="1" applyAlignment="1">
      <alignment horizontal="right" vertical="center" wrapText="1"/>
    </xf>
    <xf numFmtId="9" fontId="12" fillId="7" borderId="4" xfId="0" applyNumberFormat="1" applyFont="1" applyFill="1" applyBorder="1" applyAlignment="1">
      <alignment horizontal="right" vertical="center" wrapText="1"/>
    </xf>
    <xf numFmtId="9" fontId="12" fillId="7" borderId="5" xfId="0" applyNumberFormat="1" applyFont="1" applyFill="1" applyBorder="1" applyAlignment="1">
      <alignment horizontal="right" vertical="center" wrapText="1"/>
    </xf>
  </cellXfs>
  <cellStyles count="4">
    <cellStyle name="Comma" xfId="2" builtinId="3"/>
    <cellStyle name="Currency" xfId="1" builtinId="4"/>
    <cellStyle name="Normal" xfId="0" builtinId="0"/>
    <cellStyle name="Normal 2" xfId="3" xr:uid="{3AD2C7CE-634A-442D-AF21-E49F8A9751B4}"/>
  </cellStyles>
  <dxfs count="0"/>
  <tableStyles count="0" defaultTableStyle="TableStyleMedium2" defaultPivotStyle="PivotStyleLight16"/>
  <colors>
    <mruColors>
      <color rgb="FFFFE6B3"/>
      <color rgb="FFFDF2ED"/>
      <color rgb="FFFFFFBD"/>
      <color rgb="FFFFF5E1"/>
      <color rgb="FFFFFFE7"/>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uest User" id="{C9257713-CBAE-4C1B-98CD-88DC0BF81259}" userId="" providerId="Windows Live"/>
  <person displayName="Martina Bennett" id="{084F0752-C526-4965-BBC8-100CF877519F}" userId="cdc10f2d8d9bc0aa" providerId="Windows Live"/>
  <person displayName="Joanne Daneel" id="{DA60F2D2-840A-4653-8E76-674FC3784ACF}" userId="S::joanne.daneel@techmet.com::2b86cfd9-06b2-423a-a672-b8818faaa8f7" providerId="AD"/>
  <person displayName="Joanne Daneel" id="{9CCEB8C0-CD28-48DF-B426-1C33953DC6CF}" userId="S::joanne.daneel@trinity-metals.com::a3fe4a8d-c402-431f-9d62-84491443dec3" providerId="AD"/>
  <person displayName="Allie Hoagland" id="{4121A488-13F2-4240-BC23-3896F7B58096}" userId="S::allie.hoagland@trinity-metals.com::4aaddbb6-6488-44f7-9542-8acc30bfb0fe" providerId="AD"/>
  <person displayName="Martina Bennett" id="{6C1650C3-563F-47E2-9850-8933221BAAD8}" userId="S::martina.bennett@trinity-metals.com::a020e92b-c8e1-436a-925a-d53f9c1a8fa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3" dT="2024-10-17T18:43:23.43" personId="{084F0752-C526-4965-BBC8-100CF877519F}" id="{338874F8-7600-47CB-B4B2-E067F1CA40B1}">
    <text>Is this supposed to be cost-share? It is in the TAIP payment schedule for these two deliverables.</text>
  </threadedComment>
  <threadedComment ref="J5" dT="2024-10-17T15:07:45.97" personId="{084F0752-C526-4965-BBC8-100CF877519F}" id="{A0476C0D-9692-42AB-AFB6-F1E6F7F2C29E}">
    <text>MP 2 for Activity 1 is supposed to be $128,000</text>
  </threadedComment>
  <threadedComment ref="K5" dT="2024-10-17T15:24:57.42" personId="{084F0752-C526-4965-BBC8-100CF877519F}" id="{4B4883C9-2957-4112-8A43-4935C61FDD19}">
    <text>It seems like all of these deliverables were submitted for MP 1?  But the names of the deliverables don’t completely align.</text>
  </threadedComment>
  <threadedComment ref="D12" dT="2024-10-18T07:31:23.25" personId="{084F0752-C526-4965-BBC8-100CF877519F}" id="{5FD710DC-4D98-4826-A0B9-37EB9B4C95E4}">
    <text>Paramedic training? $140K per year</text>
  </threadedComment>
  <threadedComment ref="J22" dT="2024-10-17T15:41:05.05" personId="{084F0752-C526-4965-BBC8-100CF877519F}" id="{8D1D1B55-B3DE-46F5-8869-A9594BB587E4}">
    <text>This doesn’t align with the MP 2 amount in the TAIP (which is for $40K for 2.2.2 and 2.2.3 only)</text>
  </threadedComment>
  <threadedComment ref="J23" dT="2024-10-18T07:46:41.57" personId="{084F0752-C526-4965-BBC8-100CF877519F}" id="{5278D31E-EFBA-4182-BE88-B80D6D89DF9D}">
    <text>Look into increasing this amount to $100K</text>
  </threadedComment>
  <threadedComment ref="J24" dT="2024-10-18T07:41:57.07" personId="{084F0752-C526-4965-BBC8-100CF877519F}" id="{7BF109D4-FF7E-43E3-B5DE-0B13FC475A93}">
    <text>Needs $80K</text>
  </threadedComment>
  <threadedComment ref="J24" dT="2024-11-01T07:15:56.94" personId="{084F0752-C526-4965-BBC8-100CF877519F}" id="{4BE21AAB-00F5-47C8-A4B2-72684F535DC9}" parentId="{7BF109D4-FF7E-43E3-B5DE-0B13FC475A93}">
    <text>Gerrit says it should be $40K</text>
  </threadedComment>
  <threadedComment ref="H29" dT="2024-10-17T15:53:11.53" personId="{084F0752-C526-4965-BBC8-100CF877519F}" id="{22C2765F-F0D2-434B-BD7D-A7C033FD7EC8}">
    <text>This does not appear in the TAIP - is it part of deliverable 2.8.1?</text>
  </threadedComment>
  <threadedComment ref="D30" dT="2024-11-01T07:09:48.59" personId="{084F0752-C526-4965-BBC8-100CF877519F}" id="{0376AD82-28DD-4C71-8496-DA0D514428C5}">
    <text>Should be moved to TA1</text>
  </threadedComment>
  <threadedComment ref="J31" dT="2024-10-17T15:50:24.85" personId="{084F0752-C526-4965-BBC8-100CF877519F}" id="{C7A815E7-6AA9-46C1-BB47-88B04A9636CE}">
    <text>This is only $30K in the TAIP.</text>
  </threadedComment>
  <threadedComment ref="J31" dT="2024-10-18T07:45:38.21" personId="{084F0752-C526-4965-BBC8-100CF877519F}" id="{98D2A3BB-40DF-4326-B2F3-82CF732D3CD1}" parentId="{C7A815E7-6AA9-46C1-BB47-88B04A9636CE}">
    <text>Needs $65K</text>
  </threadedComment>
  <threadedComment ref="J31" dT="2024-11-01T07:16:40.89" personId="{084F0752-C526-4965-BBC8-100CF877519F}" id="{E9A15715-E8D6-49B0-9C9C-A682A7A9187D}" parentId="{C7A815E7-6AA9-46C1-BB47-88B04A9636CE}">
    <text>Gerrit says it should be $75K</text>
  </threadedComment>
  <threadedComment ref="I34" dT="2024-10-18T07:37:52.49" personId="{084F0752-C526-4965-BBC8-100CF877519F}" id="{BF047D93-D8BE-409C-9E90-3ADC541ABB82}">
    <text>Should go under Activity 1</text>
  </threadedComment>
  <threadedComment ref="C35" dT="2024-10-18T07:49:11.72" personId="{084F0752-C526-4965-BBC8-100CF877519F}" id="{F0A7BB89-313A-4692-A87B-924039359AB5}">
    <text>Should this still be included?</text>
  </threadedComment>
  <threadedComment ref="I35" dT="2024-10-18T07:47:38.06" personId="{084F0752-C526-4965-BBC8-100CF877519F}" id="{750C5B23-D271-4048-A5DE-4785CC7B65BF}">
    <text>Should be $80K</text>
  </threadedComment>
  <threadedComment ref="I36" dT="2024-10-18T07:49:51.02" personId="{084F0752-C526-4965-BBC8-100CF877519F}" id="{05D21CA9-0E21-4899-BE1C-9977B7B0BBAF}">
    <text>Could be increased</text>
  </threadedComment>
  <threadedComment ref="B39" dT="2024-10-18T08:00:33.98" personId="{084F0752-C526-4965-BBC8-100CF877519F}" id="{756D21BA-A8EE-4A6C-8795-24544252D56D}">
    <text>Consider adding a local market assessment (for identifying local procurement opportunities)</text>
  </threadedComment>
  <threadedComment ref="J39" dT="2024-10-17T17:45:13.60" personId="{084F0752-C526-4965-BBC8-100CF877519F}" id="{DDC81AC2-C3F0-4F83-8E74-E81D7CEB5C0F}">
    <text>Does not match the TAIP which has these two deliverables at $160K</text>
  </threadedComment>
  <threadedComment ref="C40" dT="2024-10-17T19:08:50.11" personId="{084F0752-C526-4965-BBC8-100CF877519F}" id="{73CBB96C-6E83-4409-A9BB-3B6A74D5ADD8}">
    <text>The deliverable “Detailed SOW, R&amp;R and Programme for the IDPs”, which is included in MP 2 in the TAIP, is missing from this Budget.</text>
  </threadedComment>
  <threadedComment ref="H43" dT="2024-10-17T17:49:03.09" personId="{084F0752-C526-4965-BBC8-100CF877519F}" id="{5F13CD0E-CB29-4320-88BC-644CB69DCAAE}">
    <text>Can 3.5 and 3.6 be merged? Aren’t they the same thing?</text>
  </threadedComment>
  <threadedComment ref="J46" dT="2024-10-17T18:06:20.96" personId="{084F0752-C526-4965-BBC8-100CF877519F}" id="{DC3E1B46-2ED0-4AA7-83BA-229BA00C2C8D}">
    <text>MP 5 &amp; 6 should add up to $430K per the TAIP, but here it’s $440K</text>
  </threadedComment>
  <threadedComment ref="D56" dT="2024-02-29T10:07:26.90" personId="{DA60F2D2-840A-4653-8E76-674FC3784ACF}" id="{2556EC2F-A1E8-4915-9280-7A555E73A9B0}">
    <text>This would include input from Koos (tailings) and Greg (mineral processing), as well as GroundTruth (river health) and Andrea Baker (SLR - Geochemistry)</text>
  </threadedComment>
  <threadedComment ref="G57" dT="2024-10-18T08:27:24.01" personId="{084F0752-C526-4965-BBC8-100CF877519F}" id="{D15AF293-5E27-4AEC-B864-F21B0D36BC31}">
    <text>Might have SLR support this</text>
  </threadedComment>
  <threadedComment ref="K61" dT="2024-10-17T18:29:39.54" personId="{084F0752-C526-4965-BBC8-100CF877519F}" id="{3ACE9E7D-31E5-42DA-9227-9DE6E8480883}">
    <text>Not in TAIP milestone payment schedule</text>
  </threadedComment>
  <threadedComment ref="J62" dT="2024-10-17T18:24:11.50" personId="{084F0752-C526-4965-BBC8-100CF877519F}" id="{A50E4AC3-79DB-44BC-81DB-55AFDF9D8E82}">
    <text>The total payment for MP 5 for these two deliverables is only $300K per the TAIP</text>
  </threadedComment>
  <threadedComment ref="H64" dT="2024-10-17T18:33:40.52" personId="{084F0752-C526-4965-BBC8-100CF877519F}" id="{7946C8D0-0681-4FDC-90F7-0DD15C26992D}">
    <text>This is a deliverable in the TAIP, but wasn’t included here in this Budget.</text>
  </threadedComment>
  <threadedComment ref="J70" dT="2024-10-17T18:54:32.43" personId="{084F0752-C526-4965-BBC8-100CF877519F}" id="{BE3E527E-71AC-4A68-8F78-4ED12A75BAAC}">
    <text>The TAIP MP schedule has 5.1. and 5.2’s payment for $260K (not $175K)</text>
  </threadedComment>
  <threadedComment ref="J72" dT="2024-10-17T18:56:49.99" personId="{084F0752-C526-4965-BBC8-100CF877519F}" id="{25349D6B-FA37-49B7-A931-816F8AC1028E}">
    <text>The total for MP 2 &amp; 3 is$215K in the TAIP</text>
  </threadedComment>
  <threadedComment ref="K72" dT="2024-10-18T08:16:08.40" personId="{084F0752-C526-4965-BBC8-100CF877519F}" id="{E455C10E-A899-42CE-AB12-5C2D128DB36D}">
    <text>This should all go into MP 2</text>
  </threadedComment>
  <threadedComment ref="H74" dT="2024-10-17T18:58:03.01" personId="{084F0752-C526-4965-BBC8-100CF877519F}" id="{528BC204-0010-4877-9110-DF14C971C90D}">
    <text>“Additional Baseline Studies as defined by Gap Analysis” is the deliverable in the TAIP</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4-12-07T08:16:43.62" personId="{C9257713-CBAE-4C1B-98CD-88DC0BF81259}" id="{0C2B5D8C-B215-47C1-8DEC-69CEDDBF2A03}">
    <text>28% of both SML4 Change contracts</text>
  </threadedComment>
  <threadedComment ref="K24" dT="2025-01-22T11:02:22.76" personId="{084F0752-C526-4965-BBC8-100CF877519F}" id="{2174C72F-8AB7-4604-9E14-A277BAD0DED0}">
    <text>Switched this from MOB to MP4</text>
  </threadedComment>
  <threadedComment ref="P24" dT="2025-06-04T08:49:07.65" personId="{6C1650C3-563F-47E2-9850-8933221BAAD8}" id="{CDC6EE79-C7C6-4F9E-8AFD-68906F5DFD38}">
    <text>Push to 2026</text>
  </threadedComment>
  <threadedComment ref="I34" dT="2024-12-07T08:26:53.62" personId="{C9257713-CBAE-4C1B-98CD-88DC0BF81259}" id="{16525008-63BC-4A5F-A728-3CB8AE14CF0B}">
    <text>Estimate based on budget</text>
  </threadedComment>
  <threadedComment ref="L40" dT="2025-01-22T10:19:45.31" personId="{084F0752-C526-4965-BBC8-100CF877519F}" id="{21FECEF3-423C-4A31-BB57-D5E3DB1E91A7}">
    <text>Remainder of Jo’s invoices /2</text>
  </threadedComment>
  <threadedComment ref="I58" dT="2024-12-07T08:41:51.20" personId="{C9257713-CBAE-4C1B-98CD-88DC0BF81259}" id="{1FC41CFC-3A1B-4F0C-9D67-4E9B262DEC11}">
    <text>1/2 of 28% of 22 months as per contract</text>
  </threadedComment>
  <threadedComment ref="G72" dT="2024-10-18T08:27:24.01" personId="{084F0752-C526-4965-BBC8-100CF877519F}" id="{F7ED7DC5-704A-4229-A2BD-AE751B44FB09}">
    <text>Might have SLR support this</text>
  </threadedComment>
  <threadedComment ref="J97" dT="2025-01-21T20:34:01.67" personId="{084F0752-C526-4965-BBC8-100CF877519F}" id="{DD4B8859-4C0F-4607-BB85-4F60E0FEA0F9}">
    <text>These should reflect actual costs so we can add the difference between the MPs to the Mobilization payment (not cost share - except for what was already reported as cost-share in MP1)</text>
  </threadedComment>
  <threadedComment ref="L97" dT="2024-12-04T14:07:47.76" personId="{084F0752-C526-4965-BBC8-100CF877519F}" id="{07A7E517-0D6C-4E1A-8C5C-ED07AB645A06}">
    <text>Variation Order + remainder of SLR invoices to date</text>
  </threadedComment>
  <threadedComment ref="C107" dT="2024-12-04T10:45:34.15" personId="{084F0752-C526-4965-BBC8-100CF877519F}" id="{588A372B-D6D2-4A23-B08B-1A140C52F7C4}">
    <text>Where is this budgeted for?</text>
  </threadedComment>
  <threadedComment ref="C107" dT="2024-12-07T09:48:37.33" personId="{C9257713-CBAE-4C1B-98CD-88DC0BF81259}" id="{90B5C99F-21E7-4A6F-99CC-F0DC09AE9F14}" parentId="{588A372B-D6D2-4A23-B08B-1A140C52F7C4}">
    <text>There is budget in the mines OPs budget</text>
  </threadedComment>
  <threadedComment ref="L115" dT="2025-01-21T20:36:45.35" personId="{084F0752-C526-4965-BBC8-100CF877519F}" id="{3C2CC2E9-C755-490D-8E68-FADD5FDAD503}">
    <text>Will need to reduce an activity’s MOB by this amount...</text>
  </threadedComment>
</ThreadedComments>
</file>

<file path=xl/threadedComments/threadedComment3.xml><?xml version="1.0" encoding="utf-8"?>
<ThreadedComments xmlns="http://schemas.microsoft.com/office/spreadsheetml/2018/threadedcomments" xmlns:x="http://schemas.openxmlformats.org/spreadsheetml/2006/main">
  <threadedComment ref="J5" dT="2025-06-23T13:32:45.99" personId="{6C1650C3-563F-47E2-9850-8933221BAAD8}" id="{9646D0A1-97EE-4030-BA8B-13F084F6E39C}">
    <text>Some of this could possibly go into the DFC TA budget if the TA1 budget is increased. However, some of the invoices that were claimed as cost share are a bit old (Q4 2023, Q1 2024) and I’m not sure they would agree to that...</text>
  </threadedComment>
  <threadedComment ref="J6" dT="2025-06-23T13:31:16.25" personId="{6C1650C3-563F-47E2-9850-8933221BAAD8}" id="{B57184B1-56A9-4A43-882C-B798749237E4}">
    <text>This could potentially go into the DFC TA budget, if the TA1 budget is increased...</text>
  </threadedComment>
  <threadedComment ref="V7" dT="2025-08-08T07:43:18.91" personId="{6C1650C3-563F-47E2-9850-8933221BAAD8}" id="{11173CB5-D6E7-4214-9E6C-56EBEF1F53A7}">
    <text>Will need to reconcile this in next MP3 request</text>
  </threadedComment>
  <threadedComment ref="K8" dT="2025-06-11T13:34:33.09" personId="{6C1650C3-563F-47E2-9850-8933221BAAD8}" id="{D0DC7221-CB86-41A9-8D5F-0A5B0A5A335F}">
    <text>Per cash forecast</text>
  </threadedComment>
  <threadedComment ref="Q8" dT="2025-06-11T13:37:54.88" personId="{6C1650C3-563F-47E2-9850-8933221BAAD8}" id="{91563B22-8026-4265-99A6-71AD346BA701}">
    <text>Estimated SML invoice for Q3 2025
(to be paid in Oct 2025)</text>
  </threadedComment>
  <threadedComment ref="K9" dT="2025-06-11T13:34:43.76" personId="{6C1650C3-563F-47E2-9850-8933221BAAD8}" id="{25B37A38-E6D5-45E0-822A-163352A96329}">
    <text>Estimated SML Q4 2025 invoice if LOE is not reduced</text>
  </threadedComment>
  <threadedComment ref="R9" dT="2025-06-11T13:36:42.84" personId="{6C1650C3-563F-47E2-9850-8933221BAAD8}" id="{3F87A551-3AF5-415D-9B59-71928B67212D}">
    <text>Estimated SML invoice for Q4 2025</text>
  </threadedComment>
  <threadedComment ref="K10" dT="2025-06-11T13:36:18.26" personId="{6C1650C3-563F-47E2-9850-8933221BAAD8}" id="{F28C11A7-9055-4A33-BE8F-8BC248B2108C}">
    <text>We will still have one more quarter to cover from SML’s contract, the invoice for which would be submitted in the MP5 request. Does this amount and deliverable match up?</text>
  </threadedComment>
  <threadedComment ref="R10" dT="2025-12-05T11:58:20.19" personId="{9CCEB8C0-CD28-48DF-B426-1C33953DC6CF}" id="{3926C997-B01F-424C-8367-00860BC12448}">
    <text>Possible that this will be pushed to MP5</text>
  </threadedComment>
  <threadedComment ref="C11" dT="2025-06-19T08:37:04.88" personId="{6C1650C3-563F-47E2-9850-8933221BAAD8}" id="{71E81CFB-97E9-4E50-9DF5-1D129A8A3EC7}">
    <text>Are there internal training staff?</text>
  </threadedComment>
  <threadedComment ref="C11" dT="2025-06-23T09:09:59.40" personId="{6C1650C3-563F-47E2-9850-8933221BAAD8}" id="{A84224CC-9C56-4134-BD7C-CDC169CD0126}" parentId="{71E81CFB-97E9-4E50-9DF5-1D129A8A3EC7}">
    <text>To discuss with David</text>
  </threadedComment>
  <threadedComment ref="J11" dT="2025-06-23T13:25:21.19" personId="{6C1650C3-563F-47E2-9850-8933221BAAD8}" id="{003F4C0A-659D-438D-8AF3-061A85F8E0EA}">
    <text>Moved this amount to TA2 instead.</text>
  </threadedComment>
  <threadedComment ref="D12" dT="2024-12-07T08:16:43.62" personId="{C9257713-CBAE-4C1B-98CD-88DC0BF81259}" id="{DB9C7932-963B-4385-9770-A894C20A40D4}">
    <text>28% of both SML4 Change contracts</text>
  </threadedComment>
  <threadedComment ref="V23" dT="2025-08-08T07:43:07.50" personId="{6C1650C3-563F-47E2-9850-8933221BAAD8}" id="{2CF9E512-C382-420F-A41C-2052A3BA8E20}">
    <text>Will need to reconcile this in next MP3 request</text>
  </threadedComment>
  <threadedComment ref="J24" dT="2025-06-12T08:44:15.96" personId="{6C1650C3-563F-47E2-9850-8933221BAAD8}" id="{F7CEC437-6703-4773-A2C9-453A8BB72FF0}">
    <text>What is this cost share from? We’ve claimed all of OHMS invoices…</text>
  </threadedComment>
  <threadedComment ref="P25" dT="2025-06-12T08:27:03.69" personId="{6C1650C3-563F-47E2-9850-8933221BAAD8}" id="{CF77CE8A-3868-4D3E-9DA1-D9233AAB0170}">
    <text>This was originally budgetd at 25K, but OHMS invoice submitted with MP2Add was only $7865</text>
  </threadedComment>
  <threadedComment ref="L26" dT="2025-01-22T11:02:22.76" personId="{084F0752-C526-4965-BBC8-100CF877519F}" id="{2477ABDD-2920-4305-B6B6-4D90CDA8E587}">
    <text>Switched this from MOB to MP4</text>
  </threadedComment>
  <threadedComment ref="R26" dT="2026-01-29T06:57:04.77" personId="{4121A488-13F2-4240-BC23-3896F7B58096}" id="{15878673-6EB5-4E33-BB9A-6747782357D4}">
    <text xml:space="preserve">potential shift to MP 5 </text>
  </threadedComment>
  <threadedComment ref="J27" dT="2025-08-08T07:44:09.36" personId="{6C1650C3-563F-47E2-9850-8933221BAAD8}" id="{9F84C4D5-E5F5-4A63-8A66-B5CF407451B9}">
    <text>Will need to reconcile this in next cost share report.</text>
  </threadedComment>
  <threadedComment ref="U27" dT="2025-06-12T08:46:58.17" personId="{6C1650C3-563F-47E2-9850-8933221BAAD8}" id="{DAF56F0A-DB37-4273-B08E-85072271A4F2}">
    <text>Jo’s travel</text>
  </threadedComment>
  <threadedComment ref="K31" dT="2025-06-12T08:06:37.82" personId="{6C1650C3-563F-47E2-9850-8933221BAAD8}" id="{D2F1E2B9-A663-4E81-AF88-D4E8518A2CE7}">
    <text>Increase budget? We will have $33k in Jo’s invoices to cover by Oct 2025 (MP3)</text>
  </threadedComment>
  <threadedComment ref="K32" dT="2025-06-12T08:07:06.61" personId="{6C1650C3-563F-47E2-9850-8933221BAAD8}" id="{47A12A65-50D6-466D-B202-55F49C69B337}">
    <text>Increase budget?</text>
  </threadedComment>
  <threadedComment ref="R32" dT="2026-01-29T06:58:02.08" personId="{4121A488-13F2-4240-BC23-3896F7B58096}" id="{E95890BE-9980-40E2-9DC5-5B7594065C53}">
    <text>allocate JD invoices between Nov and Jan</text>
  </threadedComment>
  <threadedComment ref="R32" dT="2026-01-29T06:58:24.24" personId="{4121A488-13F2-4240-BC23-3896F7B58096}" id="{83366D8D-5934-4D91-834E-4D031B75FE29}" parentId="{E95890BE-9980-40E2-9DC5-5B7594065C53}">
    <text>need final copies of the final audit report</text>
  </threadedComment>
  <threadedComment ref="L33" dT="2025-06-18T13:54:12.22" personId="{6C1650C3-563F-47E2-9850-8933221BAAD8}" id="{A496BD7A-B88B-4249-8811-32FEBB3EF00E}">
    <text>Push to MP 6</text>
  </threadedComment>
  <threadedComment ref="L34" dT="2025-06-18T13:54:39.38" personId="{6C1650C3-563F-47E2-9850-8933221BAAD8}" id="{ED5C9B92-9C08-466C-9D22-1C80F83B56D9}">
    <text>Push to MP 6</text>
  </threadedComment>
  <threadedComment ref="R34" dT="2026-01-29T07:00:35.89" personId="{4121A488-13F2-4240-BC23-3896F7B58096}" id="{7F0D8497-D8CF-42D7-8E95-5B5DFD7CAF36}">
    <text xml:space="preserve">Check w/ GF on potential spend for BBC, internal or external? SML4 Change to shift to TA2 trainings or shift funds to TA 1
</text>
  </threadedComment>
  <threadedComment ref="C35" dT="2025-06-19T08:41:41.73" personId="{6C1650C3-563F-47E2-9850-8933221BAAD8}" id="{C40959F3-9B14-4A10-AB70-FC4B8F636A75}">
    <text>I think we should take out transportation costs from this, but could we justify all of Gerrit’s salary as in-kind? And what about all of the HSE staff? First responder salaries? Etc?</text>
  </threadedComment>
  <threadedComment ref="H42" dT="2026-01-29T07:01:53.33" personId="{4121A488-13F2-4240-BC23-3896F7B58096}" id="{F8CD6AFD-F5BE-44FE-947C-B3971D326FB5}">
    <text>check with GF if there is an updated budget or spend for this activity and medical surv. program</text>
  </threadedComment>
  <threadedComment ref="U46" dT="2025-06-23T09:51:59.80" personId="{6C1650C3-563F-47E2-9850-8933221BAAD8}" id="{D4E01D03-BF7B-4889-8CC2-53F80761C017}">
    <text>Tony’s travel</text>
  </threadedComment>
  <threadedComment ref="Q47" dT="2025-12-01T09:18:07.94" personId="{9CCEB8C0-CD28-48DF-B426-1C33953DC6CF}" id="{C7D44108-72E5-4816-9618-70B4415C5AB6}">
    <text>Martina’s fees</text>
  </threadedComment>
  <threadedComment ref="Q48" dT="2025-06-12T09:07:27.62" personId="{6C1650C3-563F-47E2-9850-8933221BAAD8}" id="{B134584C-B3C5-4FA8-BD92-FF7E743D1F0F}">
    <text>Tony will have only $22k in invoices by Oct25. I will have $18k for Jun-Aug-Sep, but not sure all of that could be claimed for this deliverable… Justus will have $3200 in invoices</text>
  </threadedComment>
  <threadedComment ref="Q48" dT="2025-12-01T09:21:16.40" personId="{9CCEB8C0-CD28-48DF-B426-1C33953DC6CF}" id="{DEDE1822-7C65-4CE4-8A70-2FA7EAA8394B}" parentId="{B134584C-B3C5-4FA8-BD92-FF7E743D1F0F}">
    <text>Tony invoices plus Govern Well</text>
  </threadedComment>
  <threadedComment ref="Q49" dT="2025-06-12T09:08:48.60" personId="{6C1650C3-563F-47E2-9850-8933221BAAD8}" id="{219FDB18-D3CA-4BBF-84FB-156A32016568}">
    <text>The rest of the deliverables under MP3 should be shifted to later.</text>
  </threadedComment>
  <threadedComment ref="Q49" dT="2025-12-01T09:21:24.24" personId="{9CCEB8C0-CD28-48DF-B426-1C33953DC6CF}" id="{9F0D5D0D-1C59-4A69-8923-F4F776F54594}" parentId="{219FDB18-D3CA-4BBF-84FB-156A32016568}">
    <text>Corps Africa</text>
  </threadedComment>
  <threadedComment ref="R51" dT="2026-01-29T07:03:10.71" personId="{4121A488-13F2-4240-BC23-3896F7B58096}" id="{200E3791-494B-4AF8-9621-EF7C5C1D46C7}">
    <text>LiDAR and Ganza Green to be claimed here</text>
  </threadedComment>
  <threadedComment ref="R51" dT="2026-01-29T07:04:05.67" personId="{4121A488-13F2-4240-BC23-3896F7B58096}" id="{BA3888C7-3C35-423C-ACBE-0AC8D571999D}" parentId="{200E3791-494B-4AF8-9621-EF7C5C1D46C7}">
    <text>40% up front for LiDAR, balance likely due at end of Feb.  Ganza Green partial invoice by end of Feb</text>
  </threadedComment>
  <threadedComment ref="R52" dT="2026-01-29T07:07:17.14" personId="{4121A488-13F2-4240-BC23-3896F7B58096}" id="{984F8BE3-5762-4A11-80BC-46366794606E}">
    <text xml:space="preserve">TB claimed $6,110, (Nov/Dec), ABH invoice, GovernWell </text>
  </threadedComment>
  <threadedComment ref="R53" dT="2026-01-29T07:07:57.72" personId="{4121A488-13F2-4240-BC23-3896F7B58096}" id="{85CF1E70-A1D0-4B76-98C6-F16DB24CEE93}">
    <text xml:space="preserve">WorldVision, ABH, TB, </text>
  </threadedComment>
  <threadedComment ref="H54" dT="2026-01-29T07:26:42.29" personId="{4121A488-13F2-4240-BC23-3896F7B58096}" id="{5BCCF993-C15F-40AA-B739-5A9B95A47ABB}">
    <text>Include another deliverable all the stakeholder engagement activities (launch agenda and minutes from meetings)</text>
  </threadedComment>
  <threadedComment ref="C64" dT="2025-06-12T08:59:43.46" personId="{6C1650C3-563F-47E2-9850-8933221BAAD8}" id="{0B2ADF72-AF63-4A5C-AAE2-05043786DC41}">
    <text>Check CLO salaries and actual titles/salaries of tree planters</text>
  </threadedComment>
  <threadedComment ref="I66" dT="2024-12-07T08:41:51.20" personId="{C9257713-CBAE-4C1B-98CD-88DC0BF81259}" id="{01C345D0-B115-45E2-A388-3DA814B5B921}">
    <text>1/2 of 28% of 22 months as per contract</text>
  </threadedComment>
  <threadedComment ref="I66" dT="2025-06-12T08:57:32.50" personId="{6C1650C3-563F-47E2-9850-8933221BAAD8}" id="{C32CE863-C330-4B3B-BD9D-179F7DFD986F}" parentId="{01C345D0-B115-45E2-A388-3DA814B5B921}">
    <text>I merged TB and MB taxes into one line for TA3 consultant taxes</text>
  </threadedComment>
  <threadedComment ref="J66" dT="2024-12-07T08:41:51.20" personId="{C9257713-CBAE-4C1B-98CD-88DC0BF81259}" id="{EF8CCCAB-B82E-4AFF-914E-F0AEFE768E09}">
    <text>1/2 of 28% of 22 months as per contract</text>
  </threadedComment>
  <threadedComment ref="J66" dT="2025-06-12T08:57:32.50" personId="{6C1650C3-563F-47E2-9850-8933221BAAD8}" id="{BB017EC6-0BA8-43C8-A25E-7A980F846E07}" parentId="{EF8CCCAB-B82E-4AFF-914E-F0AEFE768E09}">
    <text>I merged TB and MB taxes into one line for TA3 consultant taxes</text>
  </threadedComment>
  <threadedComment ref="H71" dT="2025-06-23T09:57:14.97" personId="{6C1650C3-563F-47E2-9850-8933221BAAD8}" id="{FE2D4A20-EC58-4913-AC42-BCC5E00B66BC}">
    <text>Check with Sam on how much this is</text>
  </threadedComment>
  <threadedComment ref="C72" dT="2025-06-23T09:59:26.15" personId="{6C1650C3-563F-47E2-9850-8933221BAAD8}" id="{4EB42AF8-1BE9-4C06-AB3A-7470F354A45D}">
    <text>Check with Sam on costs associated with this</text>
  </threadedComment>
  <threadedComment ref="C74" dT="2025-06-23T10:01:52.32" personId="{6C1650C3-563F-47E2-9850-8933221BAAD8}" id="{FA363402-92C8-430F-9FFA-1258EDD65744}">
    <text>How much are the cows and bus terminal costs?</text>
  </threadedComment>
  <threadedComment ref="J74" dT="2025-06-24T12:27:31.18" personId="{6C1650C3-563F-47E2-9850-8933221BAAD8}" id="{FEC110C1-D9F0-4297-8E61-359B24982EC9}">
    <text>Bus station = 222K</text>
  </threadedComment>
  <threadedComment ref="I77" dT="2025-06-12T09:17:50.53" personId="{6C1650C3-563F-47E2-9850-8933221BAAD8}" id="{14AFA973-635E-4449-9706-296742CB442A}">
    <text>Jo’s travel</text>
  </threadedComment>
  <threadedComment ref="J77" dT="2025-06-12T09:17:50.53" personId="{6C1650C3-563F-47E2-9850-8933221BAAD8}" id="{3E46B361-A9D7-4793-A113-77AB0D1983DF}">
    <text>Jo’s travel</text>
  </threadedComment>
  <threadedComment ref="L78" dT="2025-06-12T11:18:09.53" personId="{6C1650C3-563F-47E2-9850-8933221BAAD8}" id="{85FB167A-9BB5-498E-9411-51AB5CA2CA93}">
    <text>Will be done by 31 Mar 2026</text>
  </threadedComment>
  <threadedComment ref="K80" dT="2025-06-12T12:23:52.92" personId="{6C1650C3-563F-47E2-9850-8933221BAAD8}" id="{D67A87CE-21BF-4549-BAF2-671AE91257B1}">
    <text>Was 10,550 in the previous budget for some reason...</text>
  </threadedComment>
  <threadedComment ref="L82" dT="2025-06-12T12:18:53.59" personId="{6C1650C3-563F-47E2-9850-8933221BAAD8}" id="{E781902B-0BCE-4562-9537-FB6573E5E80B}">
    <text>Now due on 31 Oct 2025, but won’t be paid until Nov 25</text>
  </threadedComment>
  <threadedComment ref="R82" dT="2026-01-29T07:12:51.00" personId="{4121A488-13F2-4240-BC23-3896F7B58096}" id="{568FB90C-9DFA-47B1-B217-413C1CDD61B5}">
    <text>invoices mostly paid</text>
  </threadedComment>
  <threadedComment ref="K83" dT="2025-06-12T12:29:05.94" personId="{6C1650C3-563F-47E2-9850-8933221BAAD8}" id="{4B4602DF-8946-4CEF-A018-C14F22C7B39F}">
    <text>Split these into two deliverables</text>
  </threadedComment>
  <threadedComment ref="L83" dT="2025-06-12T12:04:25.69" personId="{6C1650C3-563F-47E2-9850-8933221BAAD8}" id="{C78E3A55-F2B5-4413-824D-77207E2260FA}">
    <text>Due Dec 2025</text>
  </threadedComment>
  <threadedComment ref="K84" dT="2025-06-16T10:31:07.23" personId="{6C1650C3-563F-47E2-9850-8933221BAAD8}" id="{931CB780-13D8-42C1-94A9-993310C36CE1}">
    <text xml:space="preserve">Add Jo’s invoices in to this budget
</text>
  </threadedComment>
  <threadedComment ref="L84" dT="2025-06-12T12:04:25.69" personId="{6C1650C3-563F-47E2-9850-8933221BAAD8}" id="{FFB74322-58F1-42DF-98BB-B19E85E57932}">
    <text>Now due 31 Mar 2026</text>
  </threadedComment>
  <threadedComment ref="L85" dT="2025-06-12T12:04:16.43" personId="{6C1650C3-563F-47E2-9850-8933221BAAD8}" id="{79410EA9-F566-4132-8564-2251BC092696}">
    <text>Now due 31 Mar 2026</text>
  </threadedComment>
  <threadedComment ref="K86" dT="2025-06-12T12:33:00.40" personId="{6C1650C3-563F-47E2-9850-8933221BAAD8}" id="{3153C0D8-918B-417D-BE06-75FB6030CE74}">
    <text>Split these into two deliverables</text>
  </threadedComment>
  <threadedComment ref="L86" dT="2025-06-12T12:04:07.48" personId="{6C1650C3-563F-47E2-9850-8933221BAAD8}" id="{F21C7C8A-5232-468A-8832-D8C45E4D180E}">
    <text>Now due Aug 2025</text>
  </threadedComment>
  <threadedComment ref="L87" dT="2025-06-12T12:04:07.48" personId="{6C1650C3-563F-47E2-9850-8933221BAAD8}" id="{CCF20096-EEEF-4BDA-A916-285103634D1C}">
    <text>Now due 31 Mar 2026</text>
  </threadedComment>
  <threadedComment ref="L88" dT="2025-06-12T12:08:03.23" personId="{6C1650C3-563F-47E2-9850-8933221BAAD8}" id="{FAA13722-C1B2-404E-89FF-3C14DFAED7E6}">
    <text>Now due Aug 2025</text>
  </threadedComment>
  <threadedComment ref="L89" dT="2025-06-12T12:08:03.23" personId="{6C1650C3-563F-47E2-9850-8933221BAAD8}" id="{06759E84-F806-4658-9642-765FEC409B57}">
    <text>Now due 31 Mar 2026</text>
  </threadedComment>
  <threadedComment ref="R90" dT="2026-01-29T07:13:30.11" personId="{4121A488-13F2-4240-BC23-3896F7B58096}" id="{2C040BFE-318A-497F-AB8D-7D2D5BDB77F8}">
    <text>shifted to an internal project, potential reallocation to another activity - under TA 1</text>
  </threadedComment>
  <threadedComment ref="S90" dT="2026-01-30T11:10:43.04" personId="{4121A488-13F2-4240-BC23-3896F7B58096}" id="{F1E088F5-2D06-4DD2-A399-17A1A64DECF0}">
    <text xml:space="preserve">shifted from MP4, potential internal allocation
</text>
  </threadedComment>
  <threadedComment ref="S91" dT="2026-01-29T07:14:50.89" personId="{4121A488-13F2-4240-BC23-3896F7B58096}" id="{C20D23EE-3E05-49D1-95BA-D8E9397188C5}">
    <text xml:space="preserve">On track for MP 4 invoicing </text>
  </threadedComment>
  <threadedComment ref="J99" dT="2025-06-19T08:43:31.44" personId="{6C1650C3-563F-47E2-9850-8933221BAAD8}" id="{E1F1D20A-4BBC-4029-B6FE-4FFA529D3438}">
    <text>Moved 100k from TA3. Could be more than this - need to get actual amounts.</text>
  </threadedComment>
  <threadedComment ref="C102" dT="2026-01-29T07:15:38.55" personId="{4121A488-13F2-4240-BC23-3896F7B58096}" id="{0768B794-7E75-4B0D-BE28-6F9FD387665F}">
    <text xml:space="preserve">Started under priority project, need to track </text>
  </threadedComment>
  <threadedComment ref="I103" dT="2026-01-29T07:16:42.16" personId="{4121A488-13F2-4240-BC23-3896F7B58096}" id="{366659EC-5DFD-47A1-A6CB-233C5C257C20}">
    <text>check on cost share vs. DFC claim</text>
  </threadedComment>
  <threadedComment ref="J108" dT="2025-06-23T10:32:09.17" personId="{6C1650C3-563F-47E2-9850-8933221BAAD8}" id="{E3320694-80D2-4CCE-B323-B1A52F617C0B}">
    <text>Additional fees for ESIAs (Courrier sample, sattelite imagery)</text>
  </threadedComment>
  <threadedComment ref="R112" dT="2026-01-29T07:17:24.96" personId="{4121A488-13F2-4240-BC23-3896F7B58096}" id="{C748A016-ED1A-4581-8EBB-CF5285EEBE4E}">
    <text xml:space="preserve">Need SLR invoicing </text>
  </threadedComment>
  <threadedComment ref="Q113" dT="2025-12-01T09:34:57.11" personId="{9CCEB8C0-CD28-48DF-B426-1C33953DC6CF}" id="{1C5F2835-150B-4C24-B96C-00AC9DF48609}">
    <text>ETEK fees and travel and ½ Jo’s fees</text>
  </threadedComment>
  <threadedComment ref="V113" dT="2025-06-23T10:20:59.33" personId="{6C1650C3-563F-47E2-9850-8933221BAAD8}" id="{2BF64B06-016E-4741-BEA5-82DB0AFF9D95}">
    <text>Will need to reconcile this in MP3 request and next cost-share report</text>
  </threadedComment>
  <threadedComment ref="R114" dT="2026-01-29T07:18:17.22" personId="{4121A488-13F2-4240-BC23-3896F7B58096}" id="{5B22AD31-539C-45EE-B592-5BA8D9F055DB}">
    <text xml:space="preserve">expect invoices - check with Benon
</text>
  </threadedComment>
  <threadedComment ref="Q115" dT="2025-12-01T09:36:58.53" personId="{9CCEB8C0-CD28-48DF-B426-1C33953DC6CF}" id="{C7D25DF2-43CA-4BC1-8519-1727D07918C8}">
    <text>½ Jos Fees plus Martina’s fees</text>
  </threadedComment>
  <threadedComment ref="R115" dT="2026-01-29T07:18:31.64" personId="{4121A488-13F2-4240-BC23-3896F7B58096}" id="{F6CA1A11-2348-4B49-82D5-B062F440F23C}">
    <text xml:space="preserve">check JD invoices </text>
  </threadedComment>
  <threadedComment ref="S116" dT="2026-01-29T07:20:08.52" personId="{4121A488-13F2-4240-BC23-3896F7B58096}" id="{8BA08C9B-173C-4072-8475-3B81635FA8A2}">
    <text xml:space="preserve">Potential shift - keep for potential due diligence </text>
  </threadedComment>
  <threadedComment ref="C117" dT="2025-06-19T08:46:14.77" personId="{6C1650C3-563F-47E2-9850-8933221BAAD8}" id="{BA8E7979-B7B5-43AA-AE42-2D47D9F45164}">
    <text>Which staff could we put towards this one, that aren’t already accounted for above? Sam? But it would be only a portion of his salary and that’s where it becomes tricky. Perhaps we remove from here.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0718-C3CE-4327-B2B9-0616D20506E0}">
  <dimension ref="A2:AE101"/>
  <sheetViews>
    <sheetView zoomScale="90" zoomScaleNormal="90" workbookViewId="0">
      <pane xSplit="10" ySplit="2" topLeftCell="K3" activePane="bottomRight" state="frozen"/>
      <selection pane="topRight" activeCell="H1" sqref="H1"/>
      <selection pane="bottomLeft" activeCell="A3" sqref="A3"/>
      <selection pane="bottomRight" activeCell="C78" sqref="C78:H78"/>
    </sheetView>
  </sheetViews>
  <sheetFormatPr defaultColWidth="8.85546875" defaultRowHeight="15" x14ac:dyDescent="0.25"/>
  <cols>
    <col min="1" max="1" width="5.7109375" style="2" customWidth="1"/>
    <col min="2" max="2" width="21.42578125" customWidth="1"/>
    <col min="3" max="3" width="5.42578125" style="2" customWidth="1"/>
    <col min="4" max="4" width="48.140625" customWidth="1"/>
    <col min="5" max="5" width="9.140625" style="2" customWidth="1"/>
    <col min="6" max="7" width="15.7109375" style="3" customWidth="1"/>
    <col min="8" max="8" width="38.140625" style="3" customWidth="1"/>
    <col min="9" max="9" width="15.7109375" style="3" customWidth="1"/>
    <col min="10" max="10" width="14.42578125" style="3" customWidth="1"/>
    <col min="11" max="11" width="17.28515625" style="3" customWidth="1"/>
    <col min="12" max="17" width="16.7109375" customWidth="1"/>
    <col min="18" max="18" width="12.85546875" customWidth="1"/>
  </cols>
  <sheetData>
    <row r="2" spans="1:31" s="84" customFormat="1" ht="30" x14ac:dyDescent="0.25">
      <c r="A2" s="76" t="s">
        <v>0</v>
      </c>
      <c r="B2" s="77" t="s">
        <v>1</v>
      </c>
      <c r="C2" s="76" t="s">
        <v>0</v>
      </c>
      <c r="D2" s="77" t="s">
        <v>2</v>
      </c>
      <c r="E2" s="76" t="s">
        <v>3</v>
      </c>
      <c r="F2" s="78" t="s">
        <v>4</v>
      </c>
      <c r="G2" s="79" t="s">
        <v>5</v>
      </c>
      <c r="H2" s="79" t="s">
        <v>6</v>
      </c>
      <c r="I2" s="79" t="s">
        <v>7</v>
      </c>
      <c r="J2" s="79" t="s">
        <v>8</v>
      </c>
      <c r="K2" s="147" t="s">
        <v>9</v>
      </c>
      <c r="L2" s="80" t="s">
        <v>10</v>
      </c>
      <c r="M2" s="81" t="s">
        <v>11</v>
      </c>
      <c r="N2" s="82" t="s">
        <v>12</v>
      </c>
      <c r="O2" s="80" t="s">
        <v>13</v>
      </c>
      <c r="P2" s="81" t="s">
        <v>14</v>
      </c>
      <c r="Q2" s="81" t="s">
        <v>15</v>
      </c>
      <c r="R2" s="83"/>
      <c r="S2" s="83"/>
      <c r="T2" s="83"/>
      <c r="U2" s="83"/>
      <c r="V2" s="83"/>
      <c r="W2" s="83"/>
      <c r="X2" s="83"/>
      <c r="Y2" s="83"/>
      <c r="Z2" s="83"/>
      <c r="AA2" s="83"/>
      <c r="AB2" s="83"/>
      <c r="AC2" s="83"/>
      <c r="AD2" s="83"/>
      <c r="AE2" s="83"/>
    </row>
    <row r="3" spans="1:31" ht="68.25" customHeight="1" x14ac:dyDescent="0.25">
      <c r="A3" s="538">
        <v>1</v>
      </c>
      <c r="B3" s="531" t="s">
        <v>16</v>
      </c>
      <c r="C3" s="4">
        <v>1.1000000000000001</v>
      </c>
      <c r="D3" s="86" t="s">
        <v>17</v>
      </c>
      <c r="E3" s="6">
        <v>1</v>
      </c>
      <c r="F3" s="4" t="s">
        <v>18</v>
      </c>
      <c r="G3" s="231" t="s">
        <v>19</v>
      </c>
      <c r="H3" s="85" t="s">
        <v>20</v>
      </c>
      <c r="I3" s="93">
        <v>32000</v>
      </c>
      <c r="J3" s="26"/>
      <c r="K3" s="151" t="s">
        <v>21</v>
      </c>
      <c r="L3" s="70"/>
      <c r="M3" s="71"/>
      <c r="N3" s="72"/>
      <c r="O3" s="70"/>
      <c r="P3" s="71"/>
      <c r="Q3" s="71"/>
    </row>
    <row r="4" spans="1:31" ht="51" customHeight="1" x14ac:dyDescent="0.25">
      <c r="A4" s="539"/>
      <c r="B4" s="531"/>
      <c r="C4" s="4">
        <v>1.2</v>
      </c>
      <c r="D4" s="86" t="s">
        <v>22</v>
      </c>
      <c r="E4" s="6">
        <v>1</v>
      </c>
      <c r="F4" s="676" t="s">
        <v>23</v>
      </c>
      <c r="G4" s="677"/>
      <c r="H4" s="677"/>
      <c r="I4" s="677"/>
      <c r="J4" s="678"/>
      <c r="K4" s="232"/>
      <c r="L4" s="70"/>
      <c r="M4" s="71"/>
      <c r="N4" s="72"/>
      <c r="O4" s="70"/>
      <c r="P4" s="71"/>
      <c r="Q4" s="71"/>
    </row>
    <row r="5" spans="1:31" ht="133.35" customHeight="1" x14ac:dyDescent="0.25">
      <c r="A5" s="539"/>
      <c r="B5" s="531"/>
      <c r="C5" s="4" t="s">
        <v>24</v>
      </c>
      <c r="D5" s="25" t="s">
        <v>25</v>
      </c>
      <c r="E5" s="6">
        <v>1</v>
      </c>
      <c r="F5" s="4" t="s">
        <v>26</v>
      </c>
      <c r="G5" s="231" t="s">
        <v>19</v>
      </c>
      <c r="H5" s="85" t="s">
        <v>27</v>
      </c>
      <c r="I5" s="93"/>
      <c r="J5" s="154">
        <v>80000</v>
      </c>
      <c r="K5" s="156" t="s">
        <v>28</v>
      </c>
      <c r="L5" s="105">
        <v>80000</v>
      </c>
      <c r="M5" s="106"/>
      <c r="N5" s="107"/>
      <c r="O5" s="108"/>
      <c r="P5" s="106"/>
      <c r="Q5" s="106"/>
    </row>
    <row r="6" spans="1:31" ht="45" x14ac:dyDescent="0.25">
      <c r="A6" s="539"/>
      <c r="B6" s="531"/>
      <c r="C6" s="4" t="s">
        <v>29</v>
      </c>
      <c r="D6" s="25" t="s">
        <v>30</v>
      </c>
      <c r="E6" s="6">
        <v>1</v>
      </c>
      <c r="F6" s="4" t="s">
        <v>31</v>
      </c>
      <c r="G6" s="231" t="s">
        <v>19</v>
      </c>
      <c r="H6" s="85" t="s">
        <v>32</v>
      </c>
      <c r="I6" s="93"/>
      <c r="J6" s="94">
        <v>80000</v>
      </c>
      <c r="K6" s="151" t="s">
        <v>33</v>
      </c>
      <c r="L6" s="105"/>
      <c r="M6" s="109">
        <v>80000</v>
      </c>
      <c r="N6" s="107"/>
      <c r="O6" s="108"/>
      <c r="P6" s="106"/>
      <c r="Q6" s="106"/>
    </row>
    <row r="7" spans="1:31" ht="45" x14ac:dyDescent="0.25">
      <c r="A7" s="539"/>
      <c r="B7" s="531"/>
      <c r="C7" s="4" t="s">
        <v>34</v>
      </c>
      <c r="D7" s="25" t="s">
        <v>35</v>
      </c>
      <c r="E7" s="6">
        <v>1</v>
      </c>
      <c r="F7" s="4" t="s">
        <v>31</v>
      </c>
      <c r="G7" s="231" t="s">
        <v>19</v>
      </c>
      <c r="H7" s="85" t="s">
        <v>36</v>
      </c>
      <c r="I7" s="93"/>
      <c r="J7" s="94">
        <v>100000</v>
      </c>
      <c r="K7" s="151" t="s">
        <v>33</v>
      </c>
      <c r="L7" s="105"/>
      <c r="M7" s="109">
        <v>100000</v>
      </c>
      <c r="N7" s="107"/>
      <c r="O7" s="108"/>
      <c r="P7" s="106"/>
      <c r="Q7" s="106"/>
    </row>
    <row r="8" spans="1:31" ht="45" x14ac:dyDescent="0.25">
      <c r="A8" s="539"/>
      <c r="B8" s="531"/>
      <c r="C8" s="4">
        <v>1.3</v>
      </c>
      <c r="D8" s="5" t="s">
        <v>37</v>
      </c>
      <c r="E8" s="6">
        <v>1</v>
      </c>
      <c r="F8" s="4" t="s">
        <v>26</v>
      </c>
      <c r="G8" s="231" t="s">
        <v>19</v>
      </c>
      <c r="H8" s="85" t="s">
        <v>38</v>
      </c>
      <c r="I8" s="93">
        <v>75000</v>
      </c>
      <c r="J8" s="94"/>
      <c r="K8" s="156" t="s">
        <v>39</v>
      </c>
      <c r="L8" s="108"/>
      <c r="M8" s="106"/>
      <c r="N8" s="107"/>
      <c r="O8" s="108"/>
      <c r="P8" s="106"/>
      <c r="Q8" s="106"/>
    </row>
    <row r="9" spans="1:31" ht="75" x14ac:dyDescent="0.25">
      <c r="A9" s="539"/>
      <c r="B9" s="531"/>
      <c r="C9" s="4">
        <v>1.4</v>
      </c>
      <c r="D9" s="25" t="s">
        <v>40</v>
      </c>
      <c r="E9" s="6">
        <v>1</v>
      </c>
      <c r="F9" s="4" t="s">
        <v>26</v>
      </c>
      <c r="G9" s="231" t="s">
        <v>19</v>
      </c>
      <c r="H9" s="155" t="s">
        <v>41</v>
      </c>
      <c r="I9" s="93"/>
      <c r="J9" s="154">
        <v>30000</v>
      </c>
      <c r="K9" s="151" t="s">
        <v>28</v>
      </c>
      <c r="L9" s="105">
        <v>30000</v>
      </c>
      <c r="M9" s="106"/>
      <c r="N9" s="107"/>
      <c r="O9" s="108"/>
      <c r="P9" s="106"/>
      <c r="Q9" s="106"/>
    </row>
    <row r="10" spans="1:31" ht="74.25" customHeight="1" x14ac:dyDescent="0.25">
      <c r="A10" s="539"/>
      <c r="B10" s="531"/>
      <c r="C10" s="4">
        <v>1.5</v>
      </c>
      <c r="D10" s="25" t="s">
        <v>42</v>
      </c>
      <c r="E10" s="6">
        <v>1</v>
      </c>
      <c r="F10" s="4" t="s">
        <v>26</v>
      </c>
      <c r="G10" s="231" t="s">
        <v>19</v>
      </c>
      <c r="H10" s="85" t="s">
        <v>43</v>
      </c>
      <c r="I10" s="93"/>
      <c r="J10" s="94">
        <v>50000</v>
      </c>
      <c r="K10" s="156" t="s">
        <v>39</v>
      </c>
      <c r="L10" s="105">
        <v>50000</v>
      </c>
      <c r="M10" s="106"/>
      <c r="N10" s="107"/>
      <c r="O10" s="108"/>
      <c r="P10" s="106"/>
      <c r="Q10" s="106"/>
    </row>
    <row r="11" spans="1:31" ht="30" x14ac:dyDescent="0.25">
      <c r="A11" s="539"/>
      <c r="B11" s="531"/>
      <c r="C11" s="4">
        <v>1.6</v>
      </c>
      <c r="D11" s="25" t="s">
        <v>44</v>
      </c>
      <c r="E11" s="6">
        <v>2</v>
      </c>
      <c r="F11" s="4" t="s">
        <v>31</v>
      </c>
      <c r="G11" s="231" t="s">
        <v>45</v>
      </c>
      <c r="H11" s="85" t="s">
        <v>46</v>
      </c>
      <c r="I11" s="141"/>
      <c r="J11" s="94">
        <v>300000</v>
      </c>
      <c r="K11" s="151" t="s">
        <v>47</v>
      </c>
      <c r="L11" s="105"/>
      <c r="M11" s="109">
        <v>100000</v>
      </c>
      <c r="N11" s="110"/>
      <c r="O11" s="105">
        <v>100000</v>
      </c>
      <c r="P11" s="109"/>
      <c r="Q11" s="109">
        <v>100000</v>
      </c>
    </row>
    <row r="12" spans="1:31" ht="30" x14ac:dyDescent="0.25">
      <c r="A12" s="539"/>
      <c r="B12" s="531"/>
      <c r="C12" s="4">
        <v>1.7</v>
      </c>
      <c r="D12" s="25" t="s">
        <v>48</v>
      </c>
      <c r="E12" s="6">
        <v>2</v>
      </c>
      <c r="F12" s="4" t="s">
        <v>31</v>
      </c>
      <c r="G12" s="231" t="s">
        <v>45</v>
      </c>
      <c r="H12" s="85" t="s">
        <v>49</v>
      </c>
      <c r="I12" s="141"/>
      <c r="J12" s="157">
        <v>60000</v>
      </c>
      <c r="K12" s="151" t="s">
        <v>50</v>
      </c>
      <c r="L12" s="105"/>
      <c r="M12" s="109"/>
      <c r="N12" s="110">
        <v>20000</v>
      </c>
      <c r="O12" s="105"/>
      <c r="P12" s="109">
        <v>20000</v>
      </c>
      <c r="Q12" s="109">
        <v>20000</v>
      </c>
    </row>
    <row r="13" spans="1:31" ht="35.25" customHeight="1" x14ac:dyDescent="0.25">
      <c r="A13" s="539"/>
      <c r="B13" s="538" t="s">
        <v>51</v>
      </c>
      <c r="C13" s="645" t="s">
        <v>52</v>
      </c>
      <c r="D13" s="646"/>
      <c r="E13" s="646"/>
      <c r="F13" s="646"/>
      <c r="G13" s="646"/>
      <c r="H13" s="647"/>
      <c r="I13" s="95">
        <v>175000</v>
      </c>
      <c r="J13" s="46"/>
      <c r="K13" s="152"/>
      <c r="L13" s="695" t="s">
        <v>53</v>
      </c>
      <c r="M13" s="696"/>
      <c r="N13" s="696"/>
      <c r="O13" s="696"/>
      <c r="P13" s="696"/>
      <c r="Q13" s="696"/>
    </row>
    <row r="14" spans="1:31" ht="15" customHeight="1" x14ac:dyDescent="0.25">
      <c r="A14" s="539"/>
      <c r="B14" s="539"/>
      <c r="C14" s="546" t="s">
        <v>54</v>
      </c>
      <c r="D14" s="544"/>
      <c r="E14" s="544"/>
      <c r="F14" s="544"/>
      <c r="G14" s="544"/>
      <c r="H14" s="545"/>
      <c r="I14" s="95">
        <v>60000</v>
      </c>
      <c r="J14" s="46"/>
      <c r="K14" s="153"/>
      <c r="L14" s="701"/>
      <c r="M14" s="702"/>
      <c r="N14" s="702"/>
      <c r="O14" s="702"/>
      <c r="P14" s="702"/>
      <c r="Q14" s="702"/>
    </row>
    <row r="15" spans="1:31" ht="15" customHeight="1" x14ac:dyDescent="0.25">
      <c r="A15" s="539"/>
      <c r="B15" s="539"/>
      <c r="C15" s="546" t="s">
        <v>55</v>
      </c>
      <c r="D15" s="544"/>
      <c r="E15" s="544"/>
      <c r="F15" s="544"/>
      <c r="G15" s="544"/>
      <c r="H15" s="545"/>
      <c r="I15" s="67">
        <v>100000</v>
      </c>
      <c r="J15" s="46"/>
      <c r="K15" s="153"/>
      <c r="L15" s="703"/>
      <c r="M15" s="704"/>
      <c r="N15" s="704"/>
      <c r="O15" s="704"/>
      <c r="P15" s="704"/>
      <c r="Q15" s="704"/>
    </row>
    <row r="16" spans="1:31" ht="15" customHeight="1" x14ac:dyDescent="0.25">
      <c r="A16" s="539"/>
      <c r="B16" s="539"/>
      <c r="C16" s="546" t="s">
        <v>56</v>
      </c>
      <c r="D16" s="544"/>
      <c r="E16" s="544"/>
      <c r="F16" s="544"/>
      <c r="G16" s="544"/>
      <c r="H16" s="545"/>
      <c r="I16" s="67">
        <v>20000</v>
      </c>
      <c r="J16" s="46"/>
      <c r="K16" s="153"/>
      <c r="L16" s="703"/>
      <c r="M16" s="704"/>
      <c r="N16" s="704"/>
      <c r="O16" s="704"/>
      <c r="P16" s="704"/>
      <c r="Q16" s="704"/>
    </row>
    <row r="17" spans="1:18" ht="15" customHeight="1" x14ac:dyDescent="0.25">
      <c r="A17" s="539"/>
      <c r="B17" s="539"/>
      <c r="C17" s="546" t="s">
        <v>57</v>
      </c>
      <c r="D17" s="544"/>
      <c r="E17" s="544"/>
      <c r="F17" s="544"/>
      <c r="G17" s="544"/>
      <c r="H17" s="545"/>
      <c r="I17" s="67">
        <v>60000</v>
      </c>
      <c r="J17" s="46"/>
      <c r="K17" s="153"/>
      <c r="L17" s="703"/>
      <c r="M17" s="704"/>
      <c r="N17" s="704"/>
      <c r="O17" s="704"/>
      <c r="P17" s="704"/>
      <c r="Q17" s="704"/>
    </row>
    <row r="18" spans="1:18" ht="15" customHeight="1" x14ac:dyDescent="0.25">
      <c r="A18" s="539"/>
      <c r="B18" s="539"/>
      <c r="C18" s="546" t="s">
        <v>58</v>
      </c>
      <c r="D18" s="544"/>
      <c r="E18" s="544"/>
      <c r="F18" s="544"/>
      <c r="G18" s="544"/>
      <c r="H18" s="545"/>
      <c r="I18" s="67">
        <v>60000</v>
      </c>
      <c r="J18" s="46"/>
      <c r="K18" s="153"/>
      <c r="L18" s="703"/>
      <c r="M18" s="704"/>
      <c r="N18" s="704"/>
      <c r="O18" s="704"/>
      <c r="P18" s="704"/>
      <c r="Q18" s="704"/>
    </row>
    <row r="19" spans="1:18" ht="15" customHeight="1" x14ac:dyDescent="0.25">
      <c r="A19" s="540"/>
      <c r="B19" s="540"/>
      <c r="C19" s="648" t="s">
        <v>59</v>
      </c>
      <c r="D19" s="649"/>
      <c r="E19" s="649"/>
      <c r="F19" s="649"/>
      <c r="G19" s="649"/>
      <c r="H19" s="650"/>
      <c r="I19" s="67">
        <v>118000</v>
      </c>
      <c r="J19" s="46"/>
      <c r="K19" s="149"/>
      <c r="L19" s="703"/>
      <c r="M19" s="704"/>
      <c r="N19" s="704"/>
      <c r="O19" s="704"/>
      <c r="P19" s="704"/>
      <c r="Q19" s="704"/>
    </row>
    <row r="20" spans="1:18" x14ac:dyDescent="0.25">
      <c r="A20" s="7"/>
      <c r="B20" s="654" t="s">
        <v>60</v>
      </c>
      <c r="C20" s="655"/>
      <c r="D20" s="655"/>
      <c r="E20" s="655"/>
      <c r="F20" s="655"/>
      <c r="G20" s="655"/>
      <c r="H20" s="656"/>
      <c r="I20" s="66">
        <f>SUM(I3:I19)</f>
        <v>700000</v>
      </c>
      <c r="J20" s="27">
        <f t="shared" ref="J20:Q20" si="0">SUM(J3:J12)</f>
        <v>700000</v>
      </c>
      <c r="K20" s="150"/>
      <c r="L20" s="28">
        <f t="shared" si="0"/>
        <v>160000</v>
      </c>
      <c r="M20" s="29">
        <f t="shared" si="0"/>
        <v>280000</v>
      </c>
      <c r="N20" s="30">
        <f t="shared" si="0"/>
        <v>20000</v>
      </c>
      <c r="O20" s="28">
        <f t="shared" si="0"/>
        <v>100000</v>
      </c>
      <c r="P20" s="29">
        <f t="shared" si="0"/>
        <v>20000</v>
      </c>
      <c r="Q20" s="29">
        <f t="shared" si="0"/>
        <v>120000</v>
      </c>
      <c r="R20" s="49"/>
    </row>
    <row r="21" spans="1:18" ht="63" customHeight="1" x14ac:dyDescent="0.25">
      <c r="A21" s="720">
        <v>2</v>
      </c>
      <c r="B21" s="707" t="s">
        <v>61</v>
      </c>
      <c r="C21" s="23">
        <v>2.1</v>
      </c>
      <c r="D21" s="24" t="s">
        <v>62</v>
      </c>
      <c r="E21" s="22">
        <v>1</v>
      </c>
      <c r="F21" s="23" t="s">
        <v>18</v>
      </c>
      <c r="G21" s="45" t="s">
        <v>63</v>
      </c>
      <c r="H21" s="44" t="s">
        <v>64</v>
      </c>
      <c r="I21" s="96">
        <v>30000</v>
      </c>
      <c r="J21" s="97"/>
      <c r="K21" s="158" t="s">
        <v>21</v>
      </c>
      <c r="L21" s="73"/>
      <c r="M21" s="74"/>
      <c r="N21" s="75"/>
      <c r="O21" s="73"/>
      <c r="P21" s="74"/>
      <c r="Q21" s="74"/>
    </row>
    <row r="22" spans="1:18" ht="96" customHeight="1" x14ac:dyDescent="0.25">
      <c r="A22" s="721"/>
      <c r="B22" s="707"/>
      <c r="C22" s="23">
        <v>2.2000000000000002</v>
      </c>
      <c r="D22" s="87" t="s">
        <v>65</v>
      </c>
      <c r="E22" s="22">
        <v>1</v>
      </c>
      <c r="F22" s="23" t="s">
        <v>66</v>
      </c>
      <c r="G22" s="45" t="s">
        <v>63</v>
      </c>
      <c r="H22" s="44" t="s">
        <v>67</v>
      </c>
      <c r="I22" s="96">
        <v>25000</v>
      </c>
      <c r="J22" s="178">
        <v>20000</v>
      </c>
      <c r="K22" s="158" t="s">
        <v>68</v>
      </c>
      <c r="L22" s="111"/>
      <c r="M22" s="112">
        <v>20000</v>
      </c>
      <c r="N22" s="113"/>
      <c r="O22" s="114"/>
      <c r="P22" s="115"/>
      <c r="Q22" s="115"/>
    </row>
    <row r="23" spans="1:18" ht="30.75" customHeight="1" x14ac:dyDescent="0.25">
      <c r="A23" s="721"/>
      <c r="B23" s="707"/>
      <c r="C23" s="23">
        <v>2.2999999999999998</v>
      </c>
      <c r="D23" s="24" t="s">
        <v>69</v>
      </c>
      <c r="E23" s="22">
        <v>1</v>
      </c>
      <c r="F23" s="23" t="s">
        <v>66</v>
      </c>
      <c r="G23" s="146" t="s">
        <v>70</v>
      </c>
      <c r="H23" s="44" t="s">
        <v>71</v>
      </c>
      <c r="I23" s="96">
        <v>20000</v>
      </c>
      <c r="J23" s="97">
        <v>80000</v>
      </c>
      <c r="K23" s="158" t="s">
        <v>21</v>
      </c>
      <c r="L23" s="111">
        <v>40000</v>
      </c>
      <c r="M23" s="112"/>
      <c r="N23" s="116">
        <v>40000</v>
      </c>
      <c r="O23" s="114"/>
      <c r="P23" s="115"/>
      <c r="Q23" s="115"/>
    </row>
    <row r="24" spans="1:18" ht="45" customHeight="1" x14ac:dyDescent="0.25">
      <c r="A24" s="721"/>
      <c r="B24" s="707"/>
      <c r="C24" s="23">
        <v>2.4</v>
      </c>
      <c r="D24" s="24" t="s">
        <v>72</v>
      </c>
      <c r="E24" s="22">
        <v>1</v>
      </c>
      <c r="F24" s="23" t="s">
        <v>73</v>
      </c>
      <c r="G24" s="45" t="s">
        <v>74</v>
      </c>
      <c r="H24" s="44" t="s">
        <v>75</v>
      </c>
      <c r="I24" s="96"/>
      <c r="J24" s="97">
        <v>60000</v>
      </c>
      <c r="K24" s="158" t="s">
        <v>33</v>
      </c>
      <c r="L24" s="111"/>
      <c r="M24" s="112"/>
      <c r="N24" s="116">
        <v>60000</v>
      </c>
      <c r="O24" s="114"/>
      <c r="P24" s="115"/>
      <c r="Q24" s="115"/>
    </row>
    <row r="25" spans="1:18" ht="65.45" customHeight="1" x14ac:dyDescent="0.25">
      <c r="A25" s="721"/>
      <c r="B25" s="707"/>
      <c r="C25" s="23">
        <v>2.5</v>
      </c>
      <c r="D25" s="87" t="s">
        <v>76</v>
      </c>
      <c r="E25" s="22">
        <v>2</v>
      </c>
      <c r="F25" s="23" t="s">
        <v>77</v>
      </c>
      <c r="G25" s="45" t="s">
        <v>63</v>
      </c>
      <c r="H25" s="44" t="s">
        <v>78</v>
      </c>
      <c r="I25" s="96">
        <v>20000</v>
      </c>
      <c r="J25" s="97">
        <v>10000</v>
      </c>
      <c r="K25" s="158" t="s">
        <v>79</v>
      </c>
      <c r="L25" s="111"/>
      <c r="M25" s="112"/>
      <c r="N25" s="116"/>
      <c r="O25" s="111">
        <v>10000</v>
      </c>
      <c r="P25" s="115"/>
      <c r="Q25" s="115"/>
    </row>
    <row r="26" spans="1:18" ht="45" x14ac:dyDescent="0.25">
      <c r="A26" s="721"/>
      <c r="B26" s="707"/>
      <c r="C26" s="23">
        <v>2.6</v>
      </c>
      <c r="D26" s="24" t="s">
        <v>80</v>
      </c>
      <c r="E26" s="22">
        <v>2</v>
      </c>
      <c r="F26" s="23" t="s">
        <v>66</v>
      </c>
      <c r="G26" s="45" t="s">
        <v>63</v>
      </c>
      <c r="H26" s="44" t="s">
        <v>81</v>
      </c>
      <c r="I26" s="96">
        <v>15000</v>
      </c>
      <c r="J26" s="97">
        <v>40000</v>
      </c>
      <c r="K26" s="158" t="s">
        <v>33</v>
      </c>
      <c r="L26" s="111"/>
      <c r="M26" s="112">
        <v>20000</v>
      </c>
      <c r="N26" s="116"/>
      <c r="O26" s="111">
        <v>20000</v>
      </c>
      <c r="P26" s="115"/>
      <c r="Q26" s="115"/>
    </row>
    <row r="27" spans="1:18" ht="65.25" customHeight="1" x14ac:dyDescent="0.25">
      <c r="A27" s="721"/>
      <c r="B27" s="707"/>
      <c r="C27" s="23">
        <v>2.7</v>
      </c>
      <c r="D27" s="24" t="s">
        <v>82</v>
      </c>
      <c r="E27" s="22">
        <v>2</v>
      </c>
      <c r="F27" s="23" t="s">
        <v>83</v>
      </c>
      <c r="G27" s="45" t="s">
        <v>63</v>
      </c>
      <c r="H27" s="44" t="s">
        <v>84</v>
      </c>
      <c r="I27" s="96"/>
      <c r="J27" s="97">
        <v>20000</v>
      </c>
      <c r="K27" s="158" t="s">
        <v>79</v>
      </c>
      <c r="L27" s="111"/>
      <c r="M27" s="112"/>
      <c r="N27" s="116"/>
      <c r="O27" s="111">
        <v>20000</v>
      </c>
      <c r="P27" s="115"/>
      <c r="Q27" s="115"/>
    </row>
    <row r="28" spans="1:18" ht="45" x14ac:dyDescent="0.25">
      <c r="A28" s="721"/>
      <c r="B28" s="707"/>
      <c r="C28" s="23">
        <v>2.8</v>
      </c>
      <c r="D28" s="87" t="s">
        <v>85</v>
      </c>
      <c r="E28" s="22">
        <v>2</v>
      </c>
      <c r="F28" s="23" t="s">
        <v>66</v>
      </c>
      <c r="G28" s="45" t="s">
        <v>63</v>
      </c>
      <c r="H28" s="44" t="s">
        <v>86</v>
      </c>
      <c r="I28" s="96"/>
      <c r="J28" s="97">
        <v>30000</v>
      </c>
      <c r="K28" s="158" t="s">
        <v>87</v>
      </c>
      <c r="L28" s="111"/>
      <c r="M28" s="112"/>
      <c r="N28" s="116"/>
      <c r="O28" s="111">
        <v>30000</v>
      </c>
      <c r="P28" s="115"/>
      <c r="Q28" s="115"/>
    </row>
    <row r="29" spans="1:18" ht="30" x14ac:dyDescent="0.25">
      <c r="A29" s="721"/>
      <c r="B29" s="707"/>
      <c r="C29" s="23">
        <v>2.9</v>
      </c>
      <c r="D29" s="24" t="s">
        <v>88</v>
      </c>
      <c r="E29" s="22">
        <v>2</v>
      </c>
      <c r="F29" s="23" t="s">
        <v>66</v>
      </c>
      <c r="G29" s="45" t="s">
        <v>63</v>
      </c>
      <c r="H29" s="44" t="s">
        <v>89</v>
      </c>
      <c r="I29" s="96"/>
      <c r="J29" s="97">
        <v>60000</v>
      </c>
      <c r="K29" s="180" t="s">
        <v>90</v>
      </c>
      <c r="L29" s="111"/>
      <c r="M29" s="112"/>
      <c r="N29" s="116"/>
      <c r="O29" s="111">
        <v>30000</v>
      </c>
      <c r="P29" s="112">
        <v>30000</v>
      </c>
      <c r="Q29" s="115"/>
    </row>
    <row r="30" spans="1:18" ht="30" x14ac:dyDescent="0.25">
      <c r="A30" s="721"/>
      <c r="B30" s="707"/>
      <c r="C30" s="23">
        <v>2.1</v>
      </c>
      <c r="D30" s="24" t="s">
        <v>91</v>
      </c>
      <c r="E30" s="22">
        <v>2</v>
      </c>
      <c r="F30" s="23" t="s">
        <v>66</v>
      </c>
      <c r="G30" s="45" t="s">
        <v>74</v>
      </c>
      <c r="H30" s="44" t="s">
        <v>92</v>
      </c>
      <c r="I30" s="96"/>
      <c r="J30" s="97">
        <v>20000</v>
      </c>
      <c r="K30" s="158" t="s">
        <v>87</v>
      </c>
      <c r="L30" s="111"/>
      <c r="M30" s="112"/>
      <c r="N30" s="116"/>
      <c r="O30" s="111">
        <v>20000</v>
      </c>
      <c r="P30" s="115"/>
      <c r="Q30" s="115"/>
    </row>
    <row r="31" spans="1:18" ht="45" x14ac:dyDescent="0.25">
      <c r="A31" s="721"/>
      <c r="B31" s="707"/>
      <c r="C31" s="23">
        <v>2.11</v>
      </c>
      <c r="D31" s="24" t="s">
        <v>93</v>
      </c>
      <c r="E31" s="22">
        <v>2</v>
      </c>
      <c r="F31" s="23" t="s">
        <v>73</v>
      </c>
      <c r="G31" s="45" t="s">
        <v>74</v>
      </c>
      <c r="H31" s="44" t="s">
        <v>94</v>
      </c>
      <c r="I31" s="96"/>
      <c r="J31" s="179">
        <v>60000</v>
      </c>
      <c r="K31" s="158" t="s">
        <v>95</v>
      </c>
      <c r="L31" s="117"/>
      <c r="M31" s="118"/>
      <c r="N31" s="119"/>
      <c r="O31" s="111">
        <v>30000</v>
      </c>
      <c r="P31" s="112"/>
      <c r="Q31" s="112">
        <v>30000</v>
      </c>
    </row>
    <row r="32" spans="1:18" ht="15" customHeight="1" x14ac:dyDescent="0.25">
      <c r="A32" s="721"/>
      <c r="B32" s="717" t="s">
        <v>96</v>
      </c>
      <c r="C32" s="642" t="s">
        <v>97</v>
      </c>
      <c r="D32" s="643"/>
      <c r="E32" s="643"/>
      <c r="F32" s="643"/>
      <c r="G32" s="643"/>
      <c r="H32" s="644"/>
      <c r="I32" s="98">
        <v>75000</v>
      </c>
      <c r="J32" s="97"/>
      <c r="K32" s="159"/>
      <c r="L32" s="695" t="s">
        <v>53</v>
      </c>
      <c r="M32" s="696"/>
      <c r="N32" s="696"/>
      <c r="O32" s="696"/>
      <c r="P32" s="696"/>
      <c r="Q32" s="696"/>
    </row>
    <row r="33" spans="1:18" ht="15" customHeight="1" x14ac:dyDescent="0.25">
      <c r="A33" s="721"/>
      <c r="B33" s="718"/>
      <c r="C33" s="642" t="s">
        <v>98</v>
      </c>
      <c r="D33" s="643"/>
      <c r="E33" s="643"/>
      <c r="F33" s="643"/>
      <c r="G33" s="643"/>
      <c r="H33" s="644"/>
      <c r="I33" s="98">
        <v>60000</v>
      </c>
      <c r="J33" s="97"/>
      <c r="K33" s="160"/>
      <c r="L33" s="689" t="s">
        <v>99</v>
      </c>
      <c r="M33" s="690"/>
      <c r="N33" s="690"/>
      <c r="O33" s="690"/>
      <c r="P33" s="690"/>
      <c r="Q33" s="690"/>
    </row>
    <row r="34" spans="1:18" ht="15" customHeight="1" x14ac:dyDescent="0.25">
      <c r="A34" s="721"/>
      <c r="B34" s="718"/>
      <c r="C34" s="642" t="s">
        <v>100</v>
      </c>
      <c r="D34" s="643"/>
      <c r="E34" s="643"/>
      <c r="F34" s="643"/>
      <c r="G34" s="643"/>
      <c r="H34" s="644"/>
      <c r="I34" s="98">
        <v>30000</v>
      </c>
      <c r="J34" s="97"/>
      <c r="K34" s="160"/>
      <c r="L34" s="689" t="s">
        <v>101</v>
      </c>
      <c r="M34" s="690"/>
      <c r="N34" s="690"/>
      <c r="O34" s="690"/>
      <c r="P34" s="690"/>
      <c r="Q34" s="690"/>
    </row>
    <row r="35" spans="1:18" ht="15" customHeight="1" x14ac:dyDescent="0.25">
      <c r="A35" s="721"/>
      <c r="B35" s="718"/>
      <c r="C35" s="642" t="s">
        <v>102</v>
      </c>
      <c r="D35" s="643"/>
      <c r="E35" s="643"/>
      <c r="F35" s="643"/>
      <c r="G35" s="643"/>
      <c r="H35" s="644"/>
      <c r="I35" s="98">
        <v>60000</v>
      </c>
      <c r="J35" s="97"/>
      <c r="K35" s="160"/>
      <c r="L35" s="689" t="s">
        <v>103</v>
      </c>
      <c r="M35" s="690"/>
      <c r="N35" s="690"/>
      <c r="O35" s="690"/>
      <c r="P35" s="690"/>
      <c r="Q35" s="690"/>
    </row>
    <row r="36" spans="1:18" ht="15" customHeight="1" x14ac:dyDescent="0.25">
      <c r="A36" s="721"/>
      <c r="B36" s="718"/>
      <c r="C36" s="642" t="s">
        <v>104</v>
      </c>
      <c r="D36" s="643"/>
      <c r="E36" s="643"/>
      <c r="F36" s="643"/>
      <c r="G36" s="643"/>
      <c r="H36" s="644"/>
      <c r="I36" s="98">
        <v>35000</v>
      </c>
      <c r="J36" s="97"/>
      <c r="K36" s="160"/>
      <c r="L36" s="705" t="s">
        <v>105</v>
      </c>
      <c r="M36" s="706"/>
      <c r="N36" s="706"/>
      <c r="O36" s="706"/>
      <c r="P36" s="706"/>
      <c r="Q36" s="706"/>
    </row>
    <row r="37" spans="1:18" ht="15" customHeight="1" x14ac:dyDescent="0.25">
      <c r="A37" s="722"/>
      <c r="B37" s="719"/>
      <c r="C37" s="642" t="s">
        <v>106</v>
      </c>
      <c r="D37" s="643"/>
      <c r="E37" s="643"/>
      <c r="F37" s="643"/>
      <c r="G37" s="643"/>
      <c r="H37" s="644"/>
      <c r="I37" s="98">
        <v>30000</v>
      </c>
      <c r="J37" s="97"/>
      <c r="K37" s="161"/>
      <c r="L37" s="691"/>
      <c r="M37" s="692"/>
      <c r="N37" s="692"/>
      <c r="O37" s="692"/>
      <c r="P37" s="692"/>
      <c r="Q37" s="692"/>
    </row>
    <row r="38" spans="1:18" x14ac:dyDescent="0.25">
      <c r="A38" s="8"/>
      <c r="B38" s="657" t="s">
        <v>107</v>
      </c>
      <c r="C38" s="658"/>
      <c r="D38" s="658"/>
      <c r="E38" s="658"/>
      <c r="F38" s="658"/>
      <c r="G38" s="658"/>
      <c r="H38" s="659"/>
      <c r="I38" s="31">
        <f>SUM(I21:I37)</f>
        <v>400000</v>
      </c>
      <c r="J38" s="32">
        <f>SUM(J22:J37)</f>
        <v>400000</v>
      </c>
      <c r="K38" s="162"/>
      <c r="L38" s="33">
        <f t="shared" ref="L38:Q38" si="1">SUM(L21:L32)</f>
        <v>40000</v>
      </c>
      <c r="M38" s="34">
        <f t="shared" si="1"/>
        <v>40000</v>
      </c>
      <c r="N38" s="32">
        <f t="shared" si="1"/>
        <v>100000</v>
      </c>
      <c r="O38" s="33">
        <f t="shared" si="1"/>
        <v>160000</v>
      </c>
      <c r="P38" s="34">
        <f t="shared" si="1"/>
        <v>30000</v>
      </c>
      <c r="Q38" s="34">
        <f t="shared" si="1"/>
        <v>30000</v>
      </c>
      <c r="R38" s="13">
        <f>SUM(L38:Q38)</f>
        <v>400000</v>
      </c>
    </row>
    <row r="39" spans="1:18" ht="44.25" customHeight="1" x14ac:dyDescent="0.25">
      <c r="A39" s="723">
        <v>3</v>
      </c>
      <c r="B39" s="729" t="s">
        <v>108</v>
      </c>
      <c r="C39" s="10">
        <v>3.1</v>
      </c>
      <c r="D39" s="11" t="s">
        <v>109</v>
      </c>
      <c r="E39" s="12">
        <v>1</v>
      </c>
      <c r="F39" s="10" t="s">
        <v>110</v>
      </c>
      <c r="G39" s="68" t="s">
        <v>111</v>
      </c>
      <c r="H39" s="679" t="s">
        <v>112</v>
      </c>
      <c r="I39" s="99"/>
      <c r="J39" s="181">
        <v>60000</v>
      </c>
      <c r="K39" s="163" t="s">
        <v>33</v>
      </c>
      <c r="L39" s="120">
        <v>60000</v>
      </c>
      <c r="M39" s="121"/>
      <c r="N39" s="122"/>
      <c r="O39" s="123"/>
      <c r="P39" s="121"/>
      <c r="Q39" s="121"/>
    </row>
    <row r="40" spans="1:18" ht="62.25" customHeight="1" x14ac:dyDescent="0.25">
      <c r="A40" s="724"/>
      <c r="B40" s="729"/>
      <c r="C40" s="192">
        <v>3.2</v>
      </c>
      <c r="D40" s="89" t="s">
        <v>113</v>
      </c>
      <c r="E40" s="12">
        <v>1</v>
      </c>
      <c r="F40" s="10" t="s">
        <v>31</v>
      </c>
      <c r="G40" s="68" t="s">
        <v>114</v>
      </c>
      <c r="H40" s="680"/>
      <c r="I40" s="99"/>
      <c r="J40" s="181">
        <v>120000</v>
      </c>
      <c r="K40" s="163" t="s">
        <v>33</v>
      </c>
      <c r="L40" s="120"/>
      <c r="M40" s="124">
        <v>60000</v>
      </c>
      <c r="N40" s="125">
        <v>60000</v>
      </c>
      <c r="O40" s="123"/>
      <c r="P40" s="121"/>
      <c r="Q40" s="121"/>
    </row>
    <row r="41" spans="1:18" ht="90" x14ac:dyDescent="0.25">
      <c r="A41" s="724"/>
      <c r="B41" s="729"/>
      <c r="C41" s="10">
        <v>3.3</v>
      </c>
      <c r="D41" s="89" t="s">
        <v>115</v>
      </c>
      <c r="E41" s="12">
        <v>1</v>
      </c>
      <c r="F41" s="10" t="s">
        <v>31</v>
      </c>
      <c r="G41" s="68" t="s">
        <v>116</v>
      </c>
      <c r="H41" s="88" t="s">
        <v>117</v>
      </c>
      <c r="I41" s="99"/>
      <c r="J41" s="181">
        <v>120000</v>
      </c>
      <c r="K41" s="163" t="s">
        <v>118</v>
      </c>
      <c r="L41" s="120">
        <v>40000</v>
      </c>
      <c r="M41" s="124"/>
      <c r="N41" s="125">
        <v>40000</v>
      </c>
      <c r="O41" s="120"/>
      <c r="P41" s="124">
        <v>40000</v>
      </c>
      <c r="Q41" s="121"/>
    </row>
    <row r="42" spans="1:18" ht="45" x14ac:dyDescent="0.25">
      <c r="A42" s="724"/>
      <c r="B42" s="729"/>
      <c r="C42" s="10">
        <v>3.4</v>
      </c>
      <c r="D42" s="11" t="s">
        <v>119</v>
      </c>
      <c r="E42" s="12">
        <v>1</v>
      </c>
      <c r="F42" s="10" t="s">
        <v>31</v>
      </c>
      <c r="G42" s="68" t="s">
        <v>120</v>
      </c>
      <c r="H42" s="140" t="s">
        <v>121</v>
      </c>
      <c r="I42" s="99"/>
      <c r="J42" s="181">
        <v>60000</v>
      </c>
      <c r="K42" s="163" t="s">
        <v>87</v>
      </c>
      <c r="L42" s="120"/>
      <c r="M42" s="124"/>
      <c r="N42" s="125"/>
      <c r="O42" s="120">
        <v>60000</v>
      </c>
      <c r="P42" s="121"/>
      <c r="Q42" s="121"/>
    </row>
    <row r="43" spans="1:18" ht="30" x14ac:dyDescent="0.25">
      <c r="A43" s="724"/>
      <c r="B43" s="729"/>
      <c r="C43" s="10">
        <v>3.5</v>
      </c>
      <c r="D43" s="11" t="s">
        <v>122</v>
      </c>
      <c r="E43" s="12">
        <v>1</v>
      </c>
      <c r="F43" s="10" t="s">
        <v>31</v>
      </c>
      <c r="G43" s="68" t="s">
        <v>116</v>
      </c>
      <c r="H43" s="140" t="s">
        <v>123</v>
      </c>
      <c r="I43" s="99"/>
      <c r="J43" s="181">
        <v>60000</v>
      </c>
      <c r="K43" s="163" t="s">
        <v>47</v>
      </c>
      <c r="L43" s="120"/>
      <c r="M43" s="124"/>
      <c r="N43" s="125"/>
      <c r="O43" s="120">
        <v>60000</v>
      </c>
      <c r="P43" s="121"/>
      <c r="Q43" s="121"/>
    </row>
    <row r="44" spans="1:18" ht="42" customHeight="1" x14ac:dyDescent="0.25">
      <c r="A44" s="724"/>
      <c r="B44" s="729"/>
      <c r="C44" s="10">
        <v>3.6</v>
      </c>
      <c r="D44" s="89" t="s">
        <v>124</v>
      </c>
      <c r="E44" s="12">
        <v>2</v>
      </c>
      <c r="F44" s="10" t="s">
        <v>31</v>
      </c>
      <c r="G44" s="68" t="s">
        <v>116</v>
      </c>
      <c r="H44" s="88" t="s">
        <v>125</v>
      </c>
      <c r="I44" s="99"/>
      <c r="J44" s="181">
        <v>300000</v>
      </c>
      <c r="K44" s="163" t="s">
        <v>47</v>
      </c>
      <c r="L44" s="120"/>
      <c r="M44" s="124"/>
      <c r="N44" s="125"/>
      <c r="O44" s="120"/>
      <c r="P44" s="124">
        <v>300000</v>
      </c>
      <c r="Q44" s="121"/>
    </row>
    <row r="45" spans="1:18" ht="45" x14ac:dyDescent="0.25">
      <c r="A45" s="724"/>
      <c r="B45" s="729"/>
      <c r="C45" s="10">
        <v>3.7</v>
      </c>
      <c r="D45" s="11" t="s">
        <v>126</v>
      </c>
      <c r="E45" s="12">
        <v>2</v>
      </c>
      <c r="F45" s="10" t="s">
        <v>31</v>
      </c>
      <c r="G45" s="68" t="s">
        <v>127</v>
      </c>
      <c r="H45" s="88" t="s">
        <v>128</v>
      </c>
      <c r="I45" s="99"/>
      <c r="J45" s="181">
        <v>60000</v>
      </c>
      <c r="K45" s="163" t="s">
        <v>129</v>
      </c>
      <c r="L45" s="120"/>
      <c r="M45" s="124"/>
      <c r="N45" s="125"/>
      <c r="O45" s="120"/>
      <c r="P45" s="124"/>
      <c r="Q45" s="124">
        <v>60000</v>
      </c>
    </row>
    <row r="46" spans="1:18" ht="30" x14ac:dyDescent="0.25">
      <c r="A46" s="724"/>
      <c r="B46" s="729"/>
      <c r="C46" s="10">
        <v>3.8</v>
      </c>
      <c r="D46" s="11" t="s">
        <v>130</v>
      </c>
      <c r="E46" s="12">
        <v>2</v>
      </c>
      <c r="F46" s="10" t="s">
        <v>31</v>
      </c>
      <c r="G46" s="68" t="s">
        <v>131</v>
      </c>
      <c r="H46" s="88" t="s">
        <v>132</v>
      </c>
      <c r="I46" s="99"/>
      <c r="J46" s="181">
        <v>20000</v>
      </c>
      <c r="K46" s="163" t="s">
        <v>129</v>
      </c>
      <c r="L46" s="120"/>
      <c r="M46" s="124"/>
      <c r="N46" s="125"/>
      <c r="O46" s="120"/>
      <c r="P46" s="124"/>
      <c r="Q46" s="124">
        <v>20000</v>
      </c>
    </row>
    <row r="47" spans="1:18" ht="15" customHeight="1" x14ac:dyDescent="0.25">
      <c r="A47" s="724"/>
      <c r="B47" s="586" t="s">
        <v>133</v>
      </c>
      <c r="C47" s="683" t="s">
        <v>134</v>
      </c>
      <c r="D47" s="684"/>
      <c r="E47" s="684"/>
      <c r="F47" s="684"/>
      <c r="G47" s="684"/>
      <c r="H47" s="685"/>
      <c r="I47" s="143">
        <v>200000</v>
      </c>
      <c r="J47" s="100"/>
      <c r="K47" s="164"/>
      <c r="L47" s="697" t="s">
        <v>135</v>
      </c>
      <c r="M47" s="698"/>
      <c r="N47" s="698"/>
      <c r="O47" s="698"/>
      <c r="P47" s="698"/>
      <c r="Q47" s="698"/>
    </row>
    <row r="48" spans="1:18" ht="15" customHeight="1" x14ac:dyDescent="0.25">
      <c r="A48" s="724"/>
      <c r="B48" s="587"/>
      <c r="C48" s="686" t="s">
        <v>136</v>
      </c>
      <c r="D48" s="687"/>
      <c r="E48" s="687"/>
      <c r="F48" s="687"/>
      <c r="G48" s="687"/>
      <c r="H48" s="688"/>
      <c r="I48" s="143">
        <v>50000</v>
      </c>
      <c r="J48" s="100"/>
      <c r="K48" s="165"/>
      <c r="L48" s="699" t="s">
        <v>137</v>
      </c>
      <c r="M48" s="700"/>
      <c r="N48" s="700"/>
      <c r="O48" s="700"/>
      <c r="P48" s="700"/>
      <c r="Q48" s="700"/>
    </row>
    <row r="49" spans="1:18" ht="15" customHeight="1" x14ac:dyDescent="0.25">
      <c r="A49" s="724"/>
      <c r="B49" s="587"/>
      <c r="C49" s="686" t="s">
        <v>138</v>
      </c>
      <c r="D49" s="687"/>
      <c r="E49" s="687"/>
      <c r="F49" s="687"/>
      <c r="G49" s="687"/>
      <c r="H49" s="688"/>
      <c r="I49" s="143">
        <v>150000</v>
      </c>
      <c r="J49" s="100"/>
      <c r="K49" s="165"/>
      <c r="L49" s="699" t="s">
        <v>139</v>
      </c>
      <c r="M49" s="700"/>
      <c r="N49" s="700"/>
      <c r="O49" s="700"/>
      <c r="P49" s="700"/>
      <c r="Q49" s="700"/>
    </row>
    <row r="50" spans="1:18" ht="15" customHeight="1" x14ac:dyDescent="0.25">
      <c r="A50" s="724"/>
      <c r="B50" s="587"/>
      <c r="C50" s="686" t="s">
        <v>140</v>
      </c>
      <c r="D50" s="687"/>
      <c r="E50" s="687"/>
      <c r="F50" s="687"/>
      <c r="G50" s="687"/>
      <c r="H50" s="688"/>
      <c r="I50" s="143">
        <v>80000</v>
      </c>
      <c r="J50" s="100"/>
      <c r="K50" s="165"/>
      <c r="L50" s="699" t="s">
        <v>141</v>
      </c>
      <c r="M50" s="700"/>
      <c r="N50" s="700"/>
      <c r="O50" s="700"/>
      <c r="P50" s="700"/>
      <c r="Q50" s="700"/>
    </row>
    <row r="51" spans="1:18" ht="15" customHeight="1" x14ac:dyDescent="0.25">
      <c r="A51" s="724"/>
      <c r="B51" s="587"/>
      <c r="C51" s="686" t="s">
        <v>142</v>
      </c>
      <c r="D51" s="687"/>
      <c r="E51" s="687"/>
      <c r="F51" s="687"/>
      <c r="G51" s="687"/>
      <c r="H51" s="688"/>
      <c r="I51" s="143">
        <v>60000</v>
      </c>
      <c r="J51" s="100"/>
      <c r="K51" s="165"/>
      <c r="L51" s="699" t="s">
        <v>143</v>
      </c>
      <c r="M51" s="700"/>
      <c r="N51" s="700"/>
      <c r="O51" s="700"/>
      <c r="P51" s="700"/>
      <c r="Q51" s="700"/>
    </row>
    <row r="52" spans="1:18" ht="15" customHeight="1" x14ac:dyDescent="0.25">
      <c r="A52" s="724"/>
      <c r="B52" s="587"/>
      <c r="C52" s="686" t="s">
        <v>144</v>
      </c>
      <c r="D52" s="687"/>
      <c r="E52" s="687"/>
      <c r="F52" s="687"/>
      <c r="G52" s="687"/>
      <c r="H52" s="688"/>
      <c r="I52" s="143">
        <v>50000</v>
      </c>
      <c r="J52" s="100"/>
      <c r="K52" s="165"/>
      <c r="L52" s="672"/>
      <c r="M52" s="673"/>
      <c r="N52" s="673"/>
      <c r="O52" s="673"/>
      <c r="P52" s="673"/>
      <c r="Q52" s="673"/>
    </row>
    <row r="53" spans="1:18" ht="15" customHeight="1" x14ac:dyDescent="0.25">
      <c r="A53" s="724"/>
      <c r="B53" s="587"/>
      <c r="C53" s="686" t="s">
        <v>145</v>
      </c>
      <c r="D53" s="687"/>
      <c r="E53" s="687"/>
      <c r="F53" s="687"/>
      <c r="G53" s="687"/>
      <c r="H53" s="688"/>
      <c r="I53" s="143">
        <v>60000</v>
      </c>
      <c r="J53" s="100"/>
      <c r="K53" s="165"/>
      <c r="L53" s="672"/>
      <c r="M53" s="673"/>
      <c r="N53" s="673"/>
      <c r="O53" s="673"/>
      <c r="P53" s="673"/>
      <c r="Q53" s="673"/>
    </row>
    <row r="54" spans="1:18" ht="15" customHeight="1" x14ac:dyDescent="0.25">
      <c r="A54" s="725"/>
      <c r="B54" s="588"/>
      <c r="C54" s="686" t="s">
        <v>146</v>
      </c>
      <c r="D54" s="687"/>
      <c r="E54" s="687"/>
      <c r="F54" s="687"/>
      <c r="G54" s="687"/>
      <c r="H54" s="688"/>
      <c r="I54" s="143">
        <v>150000</v>
      </c>
      <c r="J54" s="100"/>
      <c r="K54" s="166"/>
      <c r="L54" s="674"/>
      <c r="M54" s="675"/>
      <c r="N54" s="675"/>
      <c r="O54" s="675"/>
      <c r="P54" s="675"/>
      <c r="Q54" s="675"/>
    </row>
    <row r="55" spans="1:18" x14ac:dyDescent="0.25">
      <c r="A55" s="9"/>
      <c r="B55" s="660" t="s">
        <v>147</v>
      </c>
      <c r="C55" s="661"/>
      <c r="D55" s="661"/>
      <c r="E55" s="661"/>
      <c r="F55" s="661"/>
      <c r="G55" s="661"/>
      <c r="H55" s="662"/>
      <c r="I55" s="35">
        <f>SUM(I39:I54)</f>
        <v>800000</v>
      </c>
      <c r="J55" s="36">
        <f>SUM(J39:J46)</f>
        <v>800000</v>
      </c>
      <c r="K55" s="167"/>
      <c r="L55" s="37">
        <f>SUM(L39:L46)</f>
        <v>100000</v>
      </c>
      <c r="M55" s="38">
        <f t="shared" ref="M55:Q55" si="2">SUM(M39:M46)</f>
        <v>60000</v>
      </c>
      <c r="N55" s="39">
        <f t="shared" si="2"/>
        <v>100000</v>
      </c>
      <c r="O55" s="37">
        <f t="shared" si="2"/>
        <v>120000</v>
      </c>
      <c r="P55" s="38">
        <f t="shared" si="2"/>
        <v>340000</v>
      </c>
      <c r="Q55" s="38">
        <f t="shared" si="2"/>
        <v>80000</v>
      </c>
      <c r="R55" s="14">
        <f>SUM(L55:Q55)</f>
        <v>800000</v>
      </c>
    </row>
    <row r="56" spans="1:18" ht="150" x14ac:dyDescent="0.25">
      <c r="A56" s="711">
        <v>4</v>
      </c>
      <c r="B56" s="639" t="s">
        <v>148</v>
      </c>
      <c r="C56" s="17">
        <v>4.0999999999999996</v>
      </c>
      <c r="D56" s="90" t="s">
        <v>149</v>
      </c>
      <c r="E56" s="16">
        <v>1</v>
      </c>
      <c r="F56" s="17" t="s">
        <v>66</v>
      </c>
      <c r="G56" s="48" t="s">
        <v>150</v>
      </c>
      <c r="H56" s="47" t="s">
        <v>151</v>
      </c>
      <c r="I56" s="101"/>
      <c r="J56" s="102">
        <v>200000</v>
      </c>
      <c r="K56" s="168" t="s">
        <v>152</v>
      </c>
      <c r="L56" s="126">
        <v>100000</v>
      </c>
      <c r="M56" s="127">
        <v>100000</v>
      </c>
      <c r="N56" s="128"/>
      <c r="O56" s="129"/>
      <c r="P56" s="130"/>
      <c r="Q56" s="130"/>
    </row>
    <row r="57" spans="1:18" ht="45" x14ac:dyDescent="0.25">
      <c r="A57" s="712"/>
      <c r="B57" s="639"/>
      <c r="C57" s="17">
        <v>4.2</v>
      </c>
      <c r="D57" s="90" t="s">
        <v>153</v>
      </c>
      <c r="E57" s="16">
        <v>1</v>
      </c>
      <c r="F57" s="17" t="s">
        <v>31</v>
      </c>
      <c r="G57" s="48" t="s">
        <v>154</v>
      </c>
      <c r="H57" s="47" t="s">
        <v>155</v>
      </c>
      <c r="I57" s="101"/>
      <c r="J57" s="102">
        <v>60000</v>
      </c>
      <c r="K57" s="168" t="s">
        <v>33</v>
      </c>
      <c r="L57" s="126"/>
      <c r="M57" s="127">
        <v>60000</v>
      </c>
      <c r="N57" s="128"/>
      <c r="O57" s="129"/>
      <c r="P57" s="130"/>
      <c r="Q57" s="130"/>
    </row>
    <row r="58" spans="1:18" ht="45" x14ac:dyDescent="0.25">
      <c r="A58" s="712"/>
      <c r="B58" s="639"/>
      <c r="C58" s="17">
        <v>4.3</v>
      </c>
      <c r="D58" s="18" t="s">
        <v>156</v>
      </c>
      <c r="E58" s="16">
        <v>1</v>
      </c>
      <c r="F58" s="17" t="s">
        <v>31</v>
      </c>
      <c r="G58" s="48" t="s">
        <v>157</v>
      </c>
      <c r="H58" s="47" t="s">
        <v>158</v>
      </c>
      <c r="I58" s="101"/>
      <c r="J58" s="102">
        <v>40000</v>
      </c>
      <c r="K58" s="168" t="s">
        <v>87</v>
      </c>
      <c r="L58" s="126"/>
      <c r="M58" s="127"/>
      <c r="N58" s="131">
        <v>40000</v>
      </c>
      <c r="O58" s="129"/>
      <c r="P58" s="130"/>
      <c r="Q58" s="130"/>
    </row>
    <row r="59" spans="1:18" ht="30" x14ac:dyDescent="0.25">
      <c r="A59" s="712"/>
      <c r="B59" s="639"/>
      <c r="C59" s="17">
        <v>4.4000000000000004</v>
      </c>
      <c r="D59" s="18" t="s">
        <v>159</v>
      </c>
      <c r="E59" s="16">
        <v>1</v>
      </c>
      <c r="F59" s="17" t="s">
        <v>31</v>
      </c>
      <c r="G59" s="48" t="s">
        <v>157</v>
      </c>
      <c r="H59" s="47" t="s">
        <v>160</v>
      </c>
      <c r="I59" s="101"/>
      <c r="J59" s="102">
        <v>100000</v>
      </c>
      <c r="K59" s="168" t="s">
        <v>87</v>
      </c>
      <c r="L59" s="126"/>
      <c r="M59" s="127"/>
      <c r="N59" s="131">
        <v>100000</v>
      </c>
      <c r="O59" s="129"/>
      <c r="P59" s="130"/>
      <c r="Q59" s="130"/>
    </row>
    <row r="60" spans="1:18" x14ac:dyDescent="0.25">
      <c r="A60" s="712"/>
      <c r="B60" s="639"/>
      <c r="C60" s="19">
        <v>4.5</v>
      </c>
      <c r="D60" s="20" t="s">
        <v>161</v>
      </c>
      <c r="E60" s="16">
        <v>2</v>
      </c>
      <c r="F60" s="17" t="s">
        <v>31</v>
      </c>
      <c r="G60" s="48"/>
      <c r="H60" s="47" t="s">
        <v>162</v>
      </c>
      <c r="I60" s="101"/>
      <c r="J60" s="102">
        <v>20000</v>
      </c>
      <c r="K60" s="168" t="s">
        <v>87</v>
      </c>
      <c r="L60" s="126"/>
      <c r="M60" s="127"/>
      <c r="N60" s="131"/>
      <c r="O60" s="126">
        <v>20000</v>
      </c>
      <c r="P60" s="130"/>
      <c r="Q60" s="130"/>
    </row>
    <row r="61" spans="1:18" ht="45" x14ac:dyDescent="0.25">
      <c r="A61" s="712"/>
      <c r="B61" s="639"/>
      <c r="C61" s="17">
        <v>4.5999999999999996</v>
      </c>
      <c r="D61" s="18" t="s">
        <v>163</v>
      </c>
      <c r="E61" s="16">
        <v>2</v>
      </c>
      <c r="F61" s="17" t="s">
        <v>31</v>
      </c>
      <c r="G61" s="48" t="s">
        <v>164</v>
      </c>
      <c r="H61" s="47" t="s">
        <v>165</v>
      </c>
      <c r="I61" s="101"/>
      <c r="J61" s="102">
        <v>80000</v>
      </c>
      <c r="K61" s="183" t="s">
        <v>166</v>
      </c>
      <c r="L61" s="126"/>
      <c r="M61" s="127"/>
      <c r="N61" s="131"/>
      <c r="O61" s="126">
        <v>80000</v>
      </c>
      <c r="P61" s="130"/>
      <c r="Q61" s="130"/>
    </row>
    <row r="62" spans="1:18" ht="60" customHeight="1" x14ac:dyDescent="0.25">
      <c r="A62" s="712"/>
      <c r="B62" s="639"/>
      <c r="C62" s="17">
        <v>4.7</v>
      </c>
      <c r="D62" s="18" t="s">
        <v>167</v>
      </c>
      <c r="E62" s="16">
        <v>2</v>
      </c>
      <c r="F62" s="17" t="s">
        <v>31</v>
      </c>
      <c r="G62" s="48" t="s">
        <v>168</v>
      </c>
      <c r="H62" s="47" t="s">
        <v>169</v>
      </c>
      <c r="I62" s="101"/>
      <c r="J62" s="182">
        <v>250000</v>
      </c>
      <c r="K62" s="168" t="s">
        <v>95</v>
      </c>
      <c r="L62" s="126"/>
      <c r="M62" s="127"/>
      <c r="N62" s="131"/>
      <c r="O62" s="126"/>
      <c r="P62" s="127">
        <v>200000</v>
      </c>
      <c r="Q62" s="130"/>
    </row>
    <row r="63" spans="1:18" ht="60" x14ac:dyDescent="0.25">
      <c r="A63" s="712"/>
      <c r="B63" s="639"/>
      <c r="C63" s="17">
        <v>4.8</v>
      </c>
      <c r="D63" s="18" t="s">
        <v>170</v>
      </c>
      <c r="E63" s="16">
        <v>2</v>
      </c>
      <c r="F63" s="17" t="s">
        <v>31</v>
      </c>
      <c r="G63" s="48" t="s">
        <v>171</v>
      </c>
      <c r="H63" s="47" t="s">
        <v>172</v>
      </c>
      <c r="I63" s="101"/>
      <c r="J63" s="182">
        <v>200000</v>
      </c>
      <c r="K63" s="168" t="s">
        <v>95</v>
      </c>
      <c r="L63" s="126"/>
      <c r="M63" s="127"/>
      <c r="N63" s="131"/>
      <c r="O63" s="126"/>
      <c r="P63" s="127"/>
      <c r="Q63" s="127">
        <v>200000</v>
      </c>
    </row>
    <row r="64" spans="1:18" ht="45" x14ac:dyDescent="0.25">
      <c r="A64" s="712"/>
      <c r="B64" s="184"/>
      <c r="C64" s="190">
        <v>4.9000000000000004</v>
      </c>
      <c r="D64" s="18"/>
      <c r="E64" s="16"/>
      <c r="F64" s="17"/>
      <c r="G64" s="17"/>
      <c r="H64" s="189" t="s">
        <v>173</v>
      </c>
      <c r="I64" s="187"/>
      <c r="J64" s="188">
        <v>230000</v>
      </c>
      <c r="K64" s="169" t="s">
        <v>129</v>
      </c>
      <c r="L64" s="185"/>
      <c r="M64" s="186"/>
      <c r="N64" s="186"/>
      <c r="O64" s="186"/>
      <c r="P64" s="186"/>
      <c r="Q64" s="186"/>
    </row>
    <row r="65" spans="1:19" ht="15" customHeight="1" x14ac:dyDescent="0.25">
      <c r="A65" s="712"/>
      <c r="B65" s="635" t="s">
        <v>174</v>
      </c>
      <c r="C65" s="669" t="s">
        <v>175</v>
      </c>
      <c r="D65" s="670"/>
      <c r="E65" s="670"/>
      <c r="F65" s="670"/>
      <c r="G65" s="670"/>
      <c r="H65" s="671"/>
      <c r="I65" s="144">
        <v>237500</v>
      </c>
      <c r="J65" s="102"/>
      <c r="K65" s="169"/>
      <c r="L65" s="695" t="s">
        <v>53</v>
      </c>
      <c r="M65" s="696"/>
      <c r="N65" s="696"/>
      <c r="O65" s="696"/>
      <c r="P65" s="696"/>
      <c r="Q65" s="696"/>
    </row>
    <row r="66" spans="1:19" ht="20.25" customHeight="1" x14ac:dyDescent="0.25">
      <c r="A66" s="712"/>
      <c r="B66" s="636"/>
      <c r="C66" s="669" t="s">
        <v>176</v>
      </c>
      <c r="D66" s="670"/>
      <c r="E66" s="670"/>
      <c r="F66" s="670"/>
      <c r="G66" s="670"/>
      <c r="H66" s="671"/>
      <c r="I66" s="144">
        <v>400000</v>
      </c>
      <c r="J66" s="102"/>
      <c r="K66" s="170"/>
      <c r="L66" s="689" t="s">
        <v>177</v>
      </c>
      <c r="M66" s="690"/>
      <c r="N66" s="690"/>
      <c r="O66" s="690"/>
      <c r="P66" s="690"/>
      <c r="Q66" s="690"/>
    </row>
    <row r="67" spans="1:19" ht="15.75" customHeight="1" x14ac:dyDescent="0.25">
      <c r="A67" s="712"/>
      <c r="B67" s="636"/>
      <c r="C67" s="669" t="s">
        <v>178</v>
      </c>
      <c r="D67" s="670"/>
      <c r="E67" s="670"/>
      <c r="F67" s="670"/>
      <c r="G67" s="670"/>
      <c r="H67" s="671"/>
      <c r="I67" s="144">
        <v>150000</v>
      </c>
      <c r="J67" s="102"/>
      <c r="K67" s="170"/>
      <c r="L67" s="689" t="s">
        <v>103</v>
      </c>
      <c r="M67" s="690"/>
      <c r="N67" s="690"/>
      <c r="O67" s="690"/>
      <c r="P67" s="690"/>
      <c r="Q67" s="690"/>
    </row>
    <row r="68" spans="1:19" ht="15" customHeight="1" x14ac:dyDescent="0.25">
      <c r="A68" s="713"/>
      <c r="B68" s="636"/>
      <c r="C68" s="669" t="s">
        <v>179</v>
      </c>
      <c r="D68" s="670"/>
      <c r="E68" s="670"/>
      <c r="F68" s="670"/>
      <c r="G68" s="670"/>
      <c r="H68" s="671"/>
      <c r="I68" s="144">
        <v>162500</v>
      </c>
      <c r="J68" s="102"/>
      <c r="K68" s="171"/>
      <c r="L68" s="691" t="s">
        <v>180</v>
      </c>
      <c r="M68" s="692"/>
      <c r="N68" s="692"/>
      <c r="O68" s="692"/>
      <c r="P68" s="692"/>
      <c r="Q68" s="692"/>
    </row>
    <row r="69" spans="1:19" x14ac:dyDescent="0.25">
      <c r="A69" s="15"/>
      <c r="B69" s="525" t="s">
        <v>181</v>
      </c>
      <c r="C69" s="526"/>
      <c r="D69" s="526"/>
      <c r="E69" s="526"/>
      <c r="F69" s="526"/>
      <c r="G69" s="526"/>
      <c r="H69" s="527"/>
      <c r="I69" s="40">
        <f>SUM(I56:I68)</f>
        <v>950000</v>
      </c>
      <c r="J69" s="41">
        <f>SUM(J56:J64)</f>
        <v>1180000</v>
      </c>
      <c r="K69" s="172"/>
      <c r="L69" s="42">
        <f t="shared" ref="L69:Q69" si="3">SUM(L56:L63)</f>
        <v>100000</v>
      </c>
      <c r="M69" s="43">
        <f t="shared" si="3"/>
        <v>160000</v>
      </c>
      <c r="N69" s="41">
        <f t="shared" si="3"/>
        <v>140000</v>
      </c>
      <c r="O69" s="42">
        <f t="shared" si="3"/>
        <v>100000</v>
      </c>
      <c r="P69" s="43">
        <f t="shared" si="3"/>
        <v>200000</v>
      </c>
      <c r="Q69" s="43">
        <f t="shared" si="3"/>
        <v>200000</v>
      </c>
      <c r="R69" s="21">
        <f>SUM(L69:Q69)</f>
        <v>900000</v>
      </c>
    </row>
    <row r="70" spans="1:19" ht="95.25" customHeight="1" x14ac:dyDescent="0.25">
      <c r="A70" s="714">
        <v>5</v>
      </c>
      <c r="B70" s="726" t="s">
        <v>182</v>
      </c>
      <c r="C70" s="51">
        <v>5.0999999999999996</v>
      </c>
      <c r="D70" s="91" t="s">
        <v>183</v>
      </c>
      <c r="E70" s="53">
        <v>1</v>
      </c>
      <c r="F70" s="51" t="s">
        <v>66</v>
      </c>
      <c r="G70" s="69" t="s">
        <v>184</v>
      </c>
      <c r="H70" s="681" t="s">
        <v>185</v>
      </c>
      <c r="I70" s="145">
        <v>150000</v>
      </c>
      <c r="J70" s="191">
        <v>75000</v>
      </c>
      <c r="K70" s="173" t="s">
        <v>21</v>
      </c>
      <c r="L70" s="132">
        <v>75000</v>
      </c>
      <c r="M70" s="133"/>
      <c r="N70" s="134"/>
      <c r="O70" s="135"/>
      <c r="P70" s="133"/>
      <c r="Q70" s="133"/>
    </row>
    <row r="71" spans="1:19" ht="124.5" customHeight="1" x14ac:dyDescent="0.25">
      <c r="A71" s="715"/>
      <c r="B71" s="727"/>
      <c r="C71" s="51">
        <v>5.2</v>
      </c>
      <c r="D71" s="91" t="s">
        <v>186</v>
      </c>
      <c r="E71" s="53">
        <v>1</v>
      </c>
      <c r="F71" s="51" t="s">
        <v>66</v>
      </c>
      <c r="G71" s="69" t="s">
        <v>184</v>
      </c>
      <c r="H71" s="682"/>
      <c r="I71" s="145">
        <v>150000</v>
      </c>
      <c r="J71" s="191">
        <v>100000</v>
      </c>
      <c r="K71" s="173" t="s">
        <v>21</v>
      </c>
      <c r="L71" s="132">
        <v>100000</v>
      </c>
      <c r="M71" s="133"/>
      <c r="N71" s="134"/>
      <c r="O71" s="135"/>
      <c r="P71" s="133"/>
      <c r="Q71" s="133"/>
      <c r="S71" s="49"/>
    </row>
    <row r="72" spans="1:19" ht="60" x14ac:dyDescent="0.25">
      <c r="A72" s="715"/>
      <c r="B72" s="727"/>
      <c r="C72" s="51">
        <v>5.3</v>
      </c>
      <c r="D72" s="52" t="s">
        <v>187</v>
      </c>
      <c r="E72" s="53">
        <v>1</v>
      </c>
      <c r="F72" s="51" t="s">
        <v>66</v>
      </c>
      <c r="G72" s="69" t="s">
        <v>184</v>
      </c>
      <c r="H72" s="92" t="s">
        <v>188</v>
      </c>
      <c r="I72" s="145"/>
      <c r="J72" s="191">
        <v>300000</v>
      </c>
      <c r="K72" s="173" t="s">
        <v>189</v>
      </c>
      <c r="L72" s="132">
        <v>250000</v>
      </c>
      <c r="M72" s="136">
        <v>50000</v>
      </c>
      <c r="N72" s="137"/>
      <c r="O72" s="135"/>
      <c r="P72" s="133"/>
      <c r="Q72" s="133"/>
    </row>
    <row r="73" spans="1:19" ht="17.25" customHeight="1" x14ac:dyDescent="0.25">
      <c r="A73" s="715"/>
      <c r="B73" s="727"/>
      <c r="C73" s="51">
        <v>5.4</v>
      </c>
      <c r="D73" s="54" t="s">
        <v>161</v>
      </c>
      <c r="E73" s="53">
        <v>2</v>
      </c>
      <c r="F73" s="51" t="s">
        <v>31</v>
      </c>
      <c r="G73" s="69"/>
      <c r="H73" s="92" t="s">
        <v>190</v>
      </c>
      <c r="I73" s="145"/>
      <c r="J73" s="103">
        <v>40000</v>
      </c>
      <c r="K73" s="173" t="s">
        <v>87</v>
      </c>
      <c r="L73" s="132"/>
      <c r="M73" s="136"/>
      <c r="N73" s="137">
        <v>40000</v>
      </c>
      <c r="O73" s="132"/>
      <c r="P73" s="133"/>
      <c r="Q73" s="133"/>
    </row>
    <row r="74" spans="1:19" ht="45" x14ac:dyDescent="0.25">
      <c r="A74" s="715"/>
      <c r="B74" s="728"/>
      <c r="C74" s="51">
        <v>5.5</v>
      </c>
      <c r="D74" s="52" t="s">
        <v>191</v>
      </c>
      <c r="E74" s="53">
        <v>2</v>
      </c>
      <c r="F74" s="51" t="s">
        <v>31</v>
      </c>
      <c r="G74" s="69" t="s">
        <v>74</v>
      </c>
      <c r="H74" s="92" t="s">
        <v>192</v>
      </c>
      <c r="I74" s="145"/>
      <c r="J74" s="103">
        <v>500000</v>
      </c>
      <c r="K74" s="173" t="s">
        <v>95</v>
      </c>
      <c r="L74" s="132"/>
      <c r="M74" s="136"/>
      <c r="N74" s="137"/>
      <c r="O74" s="132">
        <v>200000</v>
      </c>
      <c r="P74" s="136">
        <v>200000</v>
      </c>
      <c r="Q74" s="136">
        <v>100000</v>
      </c>
    </row>
    <row r="75" spans="1:19" ht="15" customHeight="1" x14ac:dyDescent="0.25">
      <c r="A75" s="715"/>
      <c r="B75" s="708" t="s">
        <v>193</v>
      </c>
      <c r="C75" s="666" t="s">
        <v>194</v>
      </c>
      <c r="D75" s="667"/>
      <c r="E75" s="667"/>
      <c r="F75" s="667"/>
      <c r="G75" s="667"/>
      <c r="H75" s="668"/>
      <c r="I75" s="145">
        <v>250000</v>
      </c>
      <c r="J75" s="103"/>
      <c r="K75" s="174"/>
      <c r="L75" s="693"/>
      <c r="M75" s="694"/>
      <c r="N75" s="694"/>
      <c r="O75" s="694"/>
      <c r="P75" s="694"/>
      <c r="Q75" s="694"/>
    </row>
    <row r="76" spans="1:19" ht="15" customHeight="1" x14ac:dyDescent="0.25">
      <c r="A76" s="715"/>
      <c r="B76" s="709"/>
      <c r="C76" s="666" t="s">
        <v>195</v>
      </c>
      <c r="D76" s="667"/>
      <c r="E76" s="667"/>
      <c r="F76" s="667"/>
      <c r="G76" s="667"/>
      <c r="H76" s="668"/>
      <c r="I76" s="145">
        <v>125000</v>
      </c>
      <c r="J76" s="103"/>
      <c r="K76" s="175"/>
      <c r="L76" s="672"/>
      <c r="M76" s="673"/>
      <c r="N76" s="673"/>
      <c r="O76" s="673"/>
      <c r="P76" s="673"/>
      <c r="Q76" s="673"/>
    </row>
    <row r="77" spans="1:19" ht="15" customHeight="1" x14ac:dyDescent="0.25">
      <c r="A77" s="715"/>
      <c r="B77" s="709"/>
      <c r="C77" s="666" t="s">
        <v>196</v>
      </c>
      <c r="D77" s="667"/>
      <c r="E77" s="667"/>
      <c r="F77" s="667"/>
      <c r="G77" s="667"/>
      <c r="H77" s="668"/>
      <c r="I77" s="145">
        <v>65000</v>
      </c>
      <c r="J77" s="103"/>
      <c r="K77" s="175"/>
      <c r="L77" s="672"/>
      <c r="M77" s="673"/>
      <c r="N77" s="673"/>
      <c r="O77" s="673"/>
      <c r="P77" s="673"/>
      <c r="Q77" s="673"/>
    </row>
    <row r="78" spans="1:19" ht="15" customHeight="1" x14ac:dyDescent="0.25">
      <c r="A78" s="715"/>
      <c r="B78" s="709"/>
      <c r="C78" s="666" t="s">
        <v>197</v>
      </c>
      <c r="D78" s="667"/>
      <c r="E78" s="667"/>
      <c r="F78" s="667"/>
      <c r="G78" s="667"/>
      <c r="H78" s="668"/>
      <c r="I78" s="145">
        <v>85000</v>
      </c>
      <c r="J78" s="103"/>
      <c r="K78" s="175"/>
      <c r="L78" s="672"/>
      <c r="M78" s="673"/>
      <c r="N78" s="673"/>
      <c r="O78" s="673"/>
      <c r="P78" s="673"/>
      <c r="Q78" s="673"/>
    </row>
    <row r="79" spans="1:19" ht="15" customHeight="1" x14ac:dyDescent="0.25">
      <c r="A79" s="715"/>
      <c r="B79" s="709"/>
      <c r="C79" s="666" t="s">
        <v>198</v>
      </c>
      <c r="D79" s="667"/>
      <c r="E79" s="667"/>
      <c r="F79" s="667"/>
      <c r="G79" s="667"/>
      <c r="H79" s="668"/>
      <c r="I79" s="145">
        <v>60000</v>
      </c>
      <c r="J79" s="103"/>
      <c r="K79" s="175"/>
      <c r="L79" s="672"/>
      <c r="M79" s="673"/>
      <c r="N79" s="673"/>
      <c r="O79" s="673"/>
      <c r="P79" s="673"/>
      <c r="Q79" s="673"/>
    </row>
    <row r="80" spans="1:19" ht="15" customHeight="1" x14ac:dyDescent="0.25">
      <c r="A80" s="715"/>
      <c r="B80" s="709"/>
      <c r="C80" s="666" t="s">
        <v>199</v>
      </c>
      <c r="D80" s="667"/>
      <c r="E80" s="667"/>
      <c r="F80" s="667"/>
      <c r="G80" s="667"/>
      <c r="H80" s="668"/>
      <c r="I80" s="145">
        <v>40000</v>
      </c>
      <c r="J80" s="103"/>
      <c r="K80" s="175"/>
      <c r="L80" s="672"/>
      <c r="M80" s="673"/>
      <c r="N80" s="673"/>
      <c r="O80" s="673"/>
      <c r="P80" s="673"/>
      <c r="Q80" s="673"/>
    </row>
    <row r="81" spans="1:18" ht="15" customHeight="1" x14ac:dyDescent="0.25">
      <c r="A81" s="716"/>
      <c r="B81" s="710"/>
      <c r="C81" s="666" t="s">
        <v>200</v>
      </c>
      <c r="D81" s="667"/>
      <c r="E81" s="667"/>
      <c r="F81" s="667"/>
      <c r="G81" s="667"/>
      <c r="H81" s="668"/>
      <c r="I81" s="145">
        <v>90000</v>
      </c>
      <c r="J81" s="103"/>
      <c r="K81" s="176"/>
      <c r="L81" s="674"/>
      <c r="M81" s="675"/>
      <c r="N81" s="675"/>
      <c r="O81" s="675"/>
      <c r="P81" s="675"/>
      <c r="Q81" s="675"/>
    </row>
    <row r="82" spans="1:18" x14ac:dyDescent="0.25">
      <c r="A82" s="55"/>
      <c r="B82" s="663" t="s">
        <v>201</v>
      </c>
      <c r="C82" s="664"/>
      <c r="D82" s="664"/>
      <c r="E82" s="664"/>
      <c r="F82" s="664"/>
      <c r="G82" s="664"/>
      <c r="H82" s="665"/>
      <c r="I82" s="56">
        <f>SUM(I70:I81)</f>
        <v>1015000</v>
      </c>
      <c r="J82" s="57">
        <f>SUM(J70:J81)</f>
        <v>1015000</v>
      </c>
      <c r="K82" s="177"/>
      <c r="L82" s="58">
        <f t="shared" ref="L82:Q82" si="4">SUM(L70:L81)</f>
        <v>425000</v>
      </c>
      <c r="M82" s="56">
        <f t="shared" si="4"/>
        <v>50000</v>
      </c>
      <c r="N82" s="57">
        <f t="shared" si="4"/>
        <v>40000</v>
      </c>
      <c r="O82" s="59">
        <f t="shared" si="4"/>
        <v>200000</v>
      </c>
      <c r="P82" s="56">
        <f t="shared" si="4"/>
        <v>200000</v>
      </c>
      <c r="Q82" s="56">
        <f t="shared" si="4"/>
        <v>100000</v>
      </c>
      <c r="R82" s="142">
        <f>SUM(L82:Q82)</f>
        <v>1015000</v>
      </c>
    </row>
    <row r="83" spans="1:18" x14ac:dyDescent="0.25">
      <c r="A83" s="60"/>
      <c r="B83" s="61"/>
      <c r="C83" s="62"/>
      <c r="D83" s="61"/>
      <c r="E83" s="63"/>
      <c r="F83" s="62"/>
      <c r="G83" s="62"/>
      <c r="H83" s="62"/>
      <c r="I83" s="104"/>
      <c r="J83" s="50"/>
      <c r="K83" s="104"/>
      <c r="L83" s="64"/>
      <c r="M83" s="64"/>
      <c r="N83" s="64"/>
      <c r="O83" s="64"/>
      <c r="P83" s="64"/>
      <c r="Q83" s="64"/>
      <c r="R83" s="49"/>
    </row>
    <row r="84" spans="1:18" ht="35.25" customHeight="1" x14ac:dyDescent="0.25">
      <c r="A84" s="651" t="s">
        <v>202</v>
      </c>
      <c r="B84" s="652"/>
      <c r="C84" s="652"/>
      <c r="D84" s="652"/>
      <c r="E84" s="652"/>
      <c r="F84" s="652"/>
      <c r="G84" s="652"/>
      <c r="H84" s="653"/>
      <c r="I84" s="65">
        <f t="shared" ref="I84:Q84" si="5">I82+I69+I55+I38+I20</f>
        <v>3865000</v>
      </c>
      <c r="J84" s="139">
        <f t="shared" si="5"/>
        <v>4095000</v>
      </c>
      <c r="K84" s="104"/>
      <c r="L84" s="138">
        <f t="shared" si="5"/>
        <v>825000</v>
      </c>
      <c r="M84" s="65">
        <f t="shared" si="5"/>
        <v>590000</v>
      </c>
      <c r="N84" s="139">
        <f t="shared" si="5"/>
        <v>400000</v>
      </c>
      <c r="O84" s="138">
        <f t="shared" si="5"/>
        <v>680000</v>
      </c>
      <c r="P84" s="65">
        <f t="shared" si="5"/>
        <v>790000</v>
      </c>
      <c r="Q84" s="65">
        <f t="shared" si="5"/>
        <v>530000</v>
      </c>
    </row>
    <row r="85" spans="1:18" x14ac:dyDescent="0.25">
      <c r="B85" s="1"/>
      <c r="C85" s="3"/>
      <c r="D85" s="1"/>
      <c r="L85" t="s">
        <v>203</v>
      </c>
    </row>
    <row r="86" spans="1:18" x14ac:dyDescent="0.25">
      <c r="B86" s="1"/>
      <c r="C86" s="3"/>
      <c r="D86" s="1"/>
    </row>
    <row r="87" spans="1:18" x14ac:dyDescent="0.25">
      <c r="B87" s="1"/>
      <c r="C87" s="3"/>
      <c r="D87" s="1"/>
    </row>
    <row r="88" spans="1:18" x14ac:dyDescent="0.25">
      <c r="B88" s="1"/>
      <c r="C88" s="3"/>
      <c r="D88" s="1"/>
    </row>
    <row r="89" spans="1:18" x14ac:dyDescent="0.25">
      <c r="B89" s="1"/>
      <c r="C89" s="3"/>
      <c r="D89" s="1"/>
    </row>
    <row r="90" spans="1:18" x14ac:dyDescent="0.25">
      <c r="B90" s="1"/>
      <c r="C90" s="3"/>
      <c r="D90" s="1"/>
    </row>
    <row r="91" spans="1:18" x14ac:dyDescent="0.25">
      <c r="B91" s="1"/>
      <c r="C91" s="3"/>
      <c r="D91" s="1"/>
    </row>
    <row r="92" spans="1:18" x14ac:dyDescent="0.25">
      <c r="B92" s="1"/>
      <c r="C92" s="3"/>
      <c r="D92" s="1"/>
    </row>
    <row r="93" spans="1:18" x14ac:dyDescent="0.25">
      <c r="B93" s="1"/>
      <c r="C93" s="3"/>
      <c r="D93" s="1"/>
    </row>
    <row r="94" spans="1:18" x14ac:dyDescent="0.25">
      <c r="B94" s="1"/>
      <c r="C94" s="3"/>
      <c r="D94" s="1"/>
    </row>
    <row r="95" spans="1:18" x14ac:dyDescent="0.25">
      <c r="B95" s="1"/>
      <c r="C95" s="3"/>
      <c r="D95" s="1"/>
    </row>
    <row r="96" spans="1:18" x14ac:dyDescent="0.25">
      <c r="B96" s="1"/>
      <c r="C96" s="3"/>
      <c r="D96" s="1"/>
    </row>
    <row r="97" spans="2:4" x14ac:dyDescent="0.25">
      <c r="B97" s="1"/>
      <c r="C97" s="3"/>
      <c r="D97" s="1"/>
    </row>
    <row r="98" spans="2:4" x14ac:dyDescent="0.25">
      <c r="B98" s="1"/>
      <c r="C98" s="3"/>
      <c r="D98" s="1"/>
    </row>
    <row r="99" spans="2:4" x14ac:dyDescent="0.25">
      <c r="B99" s="1"/>
      <c r="C99" s="3"/>
      <c r="D99" s="1"/>
    </row>
    <row r="100" spans="2:4" x14ac:dyDescent="0.25">
      <c r="B100" s="1"/>
      <c r="C100" s="3"/>
      <c r="D100" s="1"/>
    </row>
    <row r="101" spans="2:4" x14ac:dyDescent="0.25">
      <c r="B101" s="1"/>
      <c r="C101" s="3"/>
      <c r="D101" s="1"/>
    </row>
  </sheetData>
  <mergeCells count="88">
    <mergeCell ref="B13:B19"/>
    <mergeCell ref="A3:A19"/>
    <mergeCell ref="B3:B12"/>
    <mergeCell ref="B21:B31"/>
    <mergeCell ref="B75:B81"/>
    <mergeCell ref="A56:A68"/>
    <mergeCell ref="A70:A81"/>
    <mergeCell ref="B32:B37"/>
    <mergeCell ref="A21:A37"/>
    <mergeCell ref="B47:B54"/>
    <mergeCell ref="A39:A54"/>
    <mergeCell ref="B56:B63"/>
    <mergeCell ref="B70:B74"/>
    <mergeCell ref="B65:B68"/>
    <mergeCell ref="B39:B46"/>
    <mergeCell ref="L37:Q37"/>
    <mergeCell ref="L13:Q13"/>
    <mergeCell ref="L14:Q14"/>
    <mergeCell ref="L15:Q15"/>
    <mergeCell ref="L16:Q16"/>
    <mergeCell ref="L17:Q17"/>
    <mergeCell ref="L18:Q18"/>
    <mergeCell ref="L19:Q19"/>
    <mergeCell ref="L32:Q32"/>
    <mergeCell ref="L33:Q33"/>
    <mergeCell ref="L34:Q34"/>
    <mergeCell ref="L35:Q35"/>
    <mergeCell ref="L36:Q36"/>
    <mergeCell ref="L47:Q47"/>
    <mergeCell ref="L48:Q48"/>
    <mergeCell ref="L49:Q49"/>
    <mergeCell ref="L50:Q50"/>
    <mergeCell ref="L51:Q51"/>
    <mergeCell ref="L52:Q52"/>
    <mergeCell ref="L53:Q53"/>
    <mergeCell ref="L54:Q54"/>
    <mergeCell ref="L65:Q65"/>
    <mergeCell ref="L66:Q66"/>
    <mergeCell ref="L67:Q67"/>
    <mergeCell ref="L68:Q68"/>
    <mergeCell ref="L75:Q75"/>
    <mergeCell ref="L76:Q76"/>
    <mergeCell ref="L77:Q77"/>
    <mergeCell ref="L78:Q78"/>
    <mergeCell ref="L79:Q79"/>
    <mergeCell ref="L80:Q80"/>
    <mergeCell ref="L81:Q81"/>
    <mergeCell ref="F4:J4"/>
    <mergeCell ref="H39:H40"/>
    <mergeCell ref="H70:H71"/>
    <mergeCell ref="C68:H68"/>
    <mergeCell ref="C47:H47"/>
    <mergeCell ref="C48:H48"/>
    <mergeCell ref="C49:H49"/>
    <mergeCell ref="C50:H50"/>
    <mergeCell ref="C51:H51"/>
    <mergeCell ref="C52:H52"/>
    <mergeCell ref="C53:H53"/>
    <mergeCell ref="C54:H54"/>
    <mergeCell ref="A84:H84"/>
    <mergeCell ref="B20:H20"/>
    <mergeCell ref="B38:H38"/>
    <mergeCell ref="B55:H55"/>
    <mergeCell ref="B69:H69"/>
    <mergeCell ref="B82:H82"/>
    <mergeCell ref="C75:H75"/>
    <mergeCell ref="C76:H76"/>
    <mergeCell ref="C77:H77"/>
    <mergeCell ref="C78:H78"/>
    <mergeCell ref="C79:H79"/>
    <mergeCell ref="C80:H80"/>
    <mergeCell ref="C81:H81"/>
    <mergeCell ref="C65:H65"/>
    <mergeCell ref="C66:H66"/>
    <mergeCell ref="C67:H67"/>
    <mergeCell ref="C35:H35"/>
    <mergeCell ref="C33:H33"/>
    <mergeCell ref="C36:H36"/>
    <mergeCell ref="C37:H37"/>
    <mergeCell ref="C13:H13"/>
    <mergeCell ref="C14:H14"/>
    <mergeCell ref="C15:H15"/>
    <mergeCell ref="C16:H16"/>
    <mergeCell ref="C17:H17"/>
    <mergeCell ref="C18:H18"/>
    <mergeCell ref="C19:H19"/>
    <mergeCell ref="C32:H32"/>
    <mergeCell ref="C34:H34"/>
  </mergeCells>
  <phoneticPr fontId="2"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FA03-FB48-403F-BED4-6688EB5937F4}">
  <dimension ref="A1:AF130"/>
  <sheetViews>
    <sheetView zoomScale="80" zoomScaleNormal="80" workbookViewId="0">
      <pane xSplit="10" ySplit="2" topLeftCell="M38" activePane="bottomRight" state="frozen"/>
      <selection pane="topRight" activeCell="H1" sqref="H1"/>
      <selection pane="bottomLeft" activeCell="A3" sqref="A3"/>
      <selection pane="bottomRight" activeCell="O41" sqref="O41:O44"/>
    </sheetView>
  </sheetViews>
  <sheetFormatPr defaultColWidth="8.85546875" defaultRowHeight="15" x14ac:dyDescent="0.25"/>
  <cols>
    <col min="1" max="1" width="5.7109375" style="2" customWidth="1"/>
    <col min="2" max="2" width="21.42578125" customWidth="1"/>
    <col min="3" max="3" width="5.42578125" style="2" customWidth="1"/>
    <col min="4" max="4" width="48.140625" customWidth="1"/>
    <col min="5" max="5" width="9.140625" style="2" customWidth="1"/>
    <col min="6" max="7" width="15.7109375" style="3" customWidth="1"/>
    <col min="8" max="8" width="38.140625" style="3" customWidth="1"/>
    <col min="9" max="9" width="15.7109375" style="3" customWidth="1"/>
    <col min="10" max="10" width="14.42578125" style="3" customWidth="1"/>
    <col min="11" max="18" width="17.28515625" style="3" customWidth="1"/>
    <col min="19" max="19" width="12.85546875" customWidth="1"/>
  </cols>
  <sheetData>
    <row r="1" spans="1:32" ht="15.75" thickBot="1" x14ac:dyDescent="0.3">
      <c r="L1" s="227">
        <v>45444</v>
      </c>
      <c r="M1" s="227">
        <v>45505</v>
      </c>
      <c r="N1" s="227">
        <v>45658</v>
      </c>
      <c r="O1" s="227">
        <v>45748</v>
      </c>
      <c r="P1" s="227">
        <v>45901</v>
      </c>
      <c r="Q1" s="227">
        <v>46023</v>
      </c>
      <c r="R1" s="227">
        <v>46143</v>
      </c>
    </row>
    <row r="2" spans="1:32" s="84" customFormat="1" ht="30" x14ac:dyDescent="0.25">
      <c r="A2" s="359" t="s">
        <v>0</v>
      </c>
      <c r="B2" s="360" t="s">
        <v>1</v>
      </c>
      <c r="C2" s="361" t="s">
        <v>0</v>
      </c>
      <c r="D2" s="360" t="s">
        <v>2</v>
      </c>
      <c r="E2" s="361" t="s">
        <v>3</v>
      </c>
      <c r="F2" s="362" t="s">
        <v>4</v>
      </c>
      <c r="G2" s="225" t="s">
        <v>5</v>
      </c>
      <c r="H2" s="225" t="s">
        <v>6</v>
      </c>
      <c r="I2" s="225" t="s">
        <v>7</v>
      </c>
      <c r="J2" s="225" t="s">
        <v>8</v>
      </c>
      <c r="K2" s="202" t="s">
        <v>9</v>
      </c>
      <c r="L2" s="225" t="s">
        <v>204</v>
      </c>
      <c r="M2" s="203" t="s">
        <v>21</v>
      </c>
      <c r="N2" s="203" t="s">
        <v>28</v>
      </c>
      <c r="O2" s="203" t="s">
        <v>33</v>
      </c>
      <c r="P2" s="203" t="s">
        <v>87</v>
      </c>
      <c r="Q2" s="203" t="s">
        <v>95</v>
      </c>
      <c r="R2" s="204" t="s">
        <v>129</v>
      </c>
      <c r="S2" s="83"/>
      <c r="T2" s="83"/>
      <c r="U2" s="83"/>
      <c r="V2" s="83"/>
      <c r="W2" s="83"/>
      <c r="X2" s="83"/>
      <c r="Y2" s="83"/>
      <c r="Z2" s="83"/>
      <c r="AA2" s="83"/>
      <c r="AB2" s="83"/>
      <c r="AC2" s="83"/>
      <c r="AD2" s="83"/>
      <c r="AE2" s="83"/>
      <c r="AF2" s="83"/>
    </row>
    <row r="3" spans="1:32" ht="30" customHeight="1" x14ac:dyDescent="0.25">
      <c r="A3" s="528">
        <v>1</v>
      </c>
      <c r="B3" s="531" t="s">
        <v>16</v>
      </c>
      <c r="C3" s="532">
        <v>1.1000000000000001</v>
      </c>
      <c r="D3" s="534" t="s">
        <v>17</v>
      </c>
      <c r="E3" s="350">
        <v>1</v>
      </c>
      <c r="F3" s="351" t="s">
        <v>18</v>
      </c>
      <c r="G3" s="352" t="s">
        <v>19</v>
      </c>
      <c r="H3" s="155" t="s">
        <v>205</v>
      </c>
      <c r="I3" s="229"/>
      <c r="J3" s="157">
        <v>16000</v>
      </c>
      <c r="K3" s="205" t="s">
        <v>21</v>
      </c>
      <c r="L3" s="193"/>
      <c r="M3" s="219">
        <f>J3</f>
        <v>16000</v>
      </c>
      <c r="N3" s="193"/>
      <c r="O3" s="193"/>
      <c r="P3" s="193"/>
      <c r="Q3" s="193"/>
      <c r="R3" s="206"/>
    </row>
    <row r="4" spans="1:32" ht="30" x14ac:dyDescent="0.25">
      <c r="A4" s="529"/>
      <c r="B4" s="531"/>
      <c r="C4" s="533"/>
      <c r="D4" s="535"/>
      <c r="E4" s="350">
        <v>1</v>
      </c>
      <c r="F4" s="351" t="s">
        <v>18</v>
      </c>
      <c r="G4" s="352" t="s">
        <v>19</v>
      </c>
      <c r="H4" s="355" t="s">
        <v>206</v>
      </c>
      <c r="I4" s="356"/>
      <c r="J4" s="157">
        <f>32000/2</f>
        <v>16000</v>
      </c>
      <c r="K4" s="205" t="s">
        <v>21</v>
      </c>
      <c r="L4" s="193"/>
      <c r="M4" s="219">
        <f>J4</f>
        <v>16000</v>
      </c>
      <c r="N4" s="193"/>
      <c r="O4" s="193"/>
      <c r="P4" s="193"/>
      <c r="Q4" s="193"/>
      <c r="R4" s="206"/>
    </row>
    <row r="5" spans="1:32" ht="60" x14ac:dyDescent="0.25">
      <c r="A5" s="529"/>
      <c r="B5" s="531"/>
      <c r="C5" s="532">
        <v>1.2</v>
      </c>
      <c r="D5" s="534" t="s">
        <v>207</v>
      </c>
      <c r="E5" s="350">
        <v>1</v>
      </c>
      <c r="F5" s="351" t="s">
        <v>18</v>
      </c>
      <c r="G5" s="352" t="s">
        <v>19</v>
      </c>
      <c r="H5" s="349" t="s">
        <v>208</v>
      </c>
      <c r="I5" s="349">
        <v>27154.91</v>
      </c>
      <c r="J5" s="370">
        <v>80000</v>
      </c>
      <c r="K5" s="205" t="s">
        <v>21</v>
      </c>
      <c r="L5" s="193"/>
      <c r="M5" s="219">
        <f>J5</f>
        <v>80000</v>
      </c>
      <c r="N5" s="193"/>
      <c r="O5" s="193"/>
      <c r="P5" s="193"/>
      <c r="Q5" s="193"/>
      <c r="R5" s="206"/>
    </row>
    <row r="6" spans="1:32" ht="46.35" customHeight="1" x14ac:dyDescent="0.25">
      <c r="A6" s="529"/>
      <c r="B6" s="531"/>
      <c r="C6" s="536"/>
      <c r="D6" s="537"/>
      <c r="E6" s="350">
        <v>1</v>
      </c>
      <c r="F6" s="351" t="s">
        <v>26</v>
      </c>
      <c r="G6" s="352" t="s">
        <v>19</v>
      </c>
      <c r="H6" s="357" t="s">
        <v>209</v>
      </c>
      <c r="I6" s="384"/>
      <c r="J6" s="385">
        <f>120000+96000+60000</f>
        <v>276000</v>
      </c>
      <c r="K6" s="205" t="s">
        <v>210</v>
      </c>
      <c r="L6" s="371">
        <f>116000+60000</f>
        <v>176000</v>
      </c>
      <c r="M6" s="219"/>
      <c r="N6" s="193">
        <v>100000</v>
      </c>
      <c r="O6" s="193"/>
      <c r="P6" s="193"/>
      <c r="Q6" s="193"/>
      <c r="R6" s="206"/>
    </row>
    <row r="7" spans="1:32" ht="58.35" customHeight="1" x14ac:dyDescent="0.25">
      <c r="A7" s="529"/>
      <c r="B7" s="531"/>
      <c r="C7" s="532">
        <v>1.3</v>
      </c>
      <c r="D7" s="534" t="s">
        <v>211</v>
      </c>
      <c r="E7" s="350">
        <v>2</v>
      </c>
      <c r="F7" s="351" t="s">
        <v>73</v>
      </c>
      <c r="G7" s="352" t="s">
        <v>19</v>
      </c>
      <c r="H7" s="155" t="s">
        <v>212</v>
      </c>
      <c r="I7" s="229"/>
      <c r="J7" s="157">
        <v>130000</v>
      </c>
      <c r="K7" s="205" t="s">
        <v>33</v>
      </c>
      <c r="L7" s="193"/>
      <c r="M7" s="219"/>
      <c r="N7" s="193"/>
      <c r="O7" s="193">
        <f>J7</f>
        <v>130000</v>
      </c>
      <c r="P7" s="193"/>
      <c r="Q7" s="193"/>
      <c r="R7" s="206"/>
    </row>
    <row r="8" spans="1:32" ht="59.45" customHeight="1" x14ac:dyDescent="0.25">
      <c r="A8" s="529"/>
      <c r="B8" s="531"/>
      <c r="C8" s="536"/>
      <c r="D8" s="537"/>
      <c r="E8" s="350">
        <v>2</v>
      </c>
      <c r="F8" s="351" t="s">
        <v>73</v>
      </c>
      <c r="G8" s="352" t="s">
        <v>19</v>
      </c>
      <c r="H8" s="155" t="s">
        <v>213</v>
      </c>
      <c r="I8" s="229"/>
      <c r="J8" s="157">
        <v>130000</v>
      </c>
      <c r="K8" s="205" t="s">
        <v>87</v>
      </c>
      <c r="L8" s="193"/>
      <c r="M8" s="219"/>
      <c r="N8" s="193"/>
      <c r="O8" s="193"/>
      <c r="P8" s="193">
        <f>J8</f>
        <v>130000</v>
      </c>
      <c r="Q8" s="193"/>
      <c r="R8" s="206"/>
    </row>
    <row r="9" spans="1:32" ht="60" customHeight="1" x14ac:dyDescent="0.25">
      <c r="A9" s="529"/>
      <c r="B9" s="531"/>
      <c r="C9" s="533"/>
      <c r="D9" s="535"/>
      <c r="E9" s="350">
        <v>2</v>
      </c>
      <c r="F9" s="351" t="s">
        <v>73</v>
      </c>
      <c r="G9" s="352" t="s">
        <v>19</v>
      </c>
      <c r="H9" s="155" t="s">
        <v>214</v>
      </c>
      <c r="I9" s="229"/>
      <c r="J9" s="157">
        <v>27000</v>
      </c>
      <c r="K9" s="205" t="s">
        <v>95</v>
      </c>
      <c r="L9" s="193"/>
      <c r="M9" s="219"/>
      <c r="N9" s="193"/>
      <c r="O9" s="193"/>
      <c r="P9" s="193"/>
      <c r="Q9" s="193">
        <f>J9</f>
        <v>27000</v>
      </c>
      <c r="R9" s="206"/>
    </row>
    <row r="10" spans="1:32" ht="30" customHeight="1" x14ac:dyDescent="0.25">
      <c r="A10" s="529"/>
      <c r="B10" s="531"/>
      <c r="C10" s="353">
        <v>1.4</v>
      </c>
      <c r="D10" s="354" t="s">
        <v>215</v>
      </c>
      <c r="E10" s="350">
        <v>2</v>
      </c>
      <c r="F10" s="351" t="s">
        <v>73</v>
      </c>
      <c r="G10" s="352" t="s">
        <v>19</v>
      </c>
      <c r="H10" s="155" t="s">
        <v>216</v>
      </c>
      <c r="I10" s="229"/>
      <c r="J10" s="157">
        <v>25000</v>
      </c>
      <c r="K10" s="205" t="s">
        <v>95</v>
      </c>
      <c r="L10" s="193"/>
      <c r="M10" s="219"/>
      <c r="N10" s="193"/>
      <c r="O10" s="193"/>
      <c r="P10" s="193"/>
      <c r="Q10" s="193">
        <f>J10</f>
        <v>25000</v>
      </c>
      <c r="R10" s="206"/>
    </row>
    <row r="11" spans="1:32" ht="30" x14ac:dyDescent="0.25">
      <c r="A11" s="529"/>
      <c r="B11" s="531"/>
      <c r="C11" s="358">
        <v>1.5</v>
      </c>
      <c r="D11" s="349" t="s">
        <v>217</v>
      </c>
      <c r="E11" s="350">
        <v>2</v>
      </c>
      <c r="F11" s="351" t="s">
        <v>73</v>
      </c>
      <c r="G11" s="352" t="s">
        <v>74</v>
      </c>
      <c r="H11" s="155" t="s">
        <v>218</v>
      </c>
      <c r="I11" s="382">
        <v>60000</v>
      </c>
      <c r="J11" s="379"/>
      <c r="K11" s="205" t="s">
        <v>87</v>
      </c>
      <c r="L11" s="193"/>
      <c r="M11" s="219"/>
      <c r="N11" s="193"/>
      <c r="O11" s="193"/>
      <c r="P11" s="193">
        <f>J11</f>
        <v>0</v>
      </c>
      <c r="Q11" s="193"/>
      <c r="R11" s="206"/>
    </row>
    <row r="12" spans="1:32" ht="18" customHeight="1" x14ac:dyDescent="0.25">
      <c r="A12" s="529"/>
      <c r="B12" s="538" t="s">
        <v>51</v>
      </c>
      <c r="C12" s="546" t="s">
        <v>219</v>
      </c>
      <c r="D12" s="544"/>
      <c r="E12" s="544"/>
      <c r="F12" s="544"/>
      <c r="G12" s="544"/>
      <c r="H12" s="545"/>
      <c r="I12" s="95">
        <v>175000</v>
      </c>
      <c r="J12" s="199"/>
      <c r="K12" s="207"/>
      <c r="L12" s="196"/>
      <c r="M12" s="220"/>
      <c r="N12" s="152"/>
      <c r="O12" s="196"/>
      <c r="P12" s="152"/>
      <c r="Q12" s="196"/>
      <c r="R12" s="208"/>
    </row>
    <row r="13" spans="1:32" ht="15" customHeight="1" x14ac:dyDescent="0.25">
      <c r="A13" s="529"/>
      <c r="B13" s="539"/>
      <c r="C13" s="233"/>
      <c r="D13" s="544" t="s">
        <v>220</v>
      </c>
      <c r="E13" s="544"/>
      <c r="F13" s="544"/>
      <c r="G13" s="544"/>
      <c r="H13" s="545"/>
      <c r="I13" s="95">
        <v>194409</v>
      </c>
      <c r="J13" s="199"/>
      <c r="K13" s="209"/>
      <c r="L13" s="197"/>
      <c r="M13" s="221"/>
      <c r="N13" s="153"/>
      <c r="O13" s="197"/>
      <c r="P13" s="153"/>
      <c r="Q13" s="197"/>
      <c r="R13" s="210"/>
    </row>
    <row r="14" spans="1:32" ht="15" customHeight="1" x14ac:dyDescent="0.25">
      <c r="A14" s="529"/>
      <c r="B14" s="539"/>
      <c r="C14" s="546" t="s">
        <v>54</v>
      </c>
      <c r="D14" s="544"/>
      <c r="E14" s="544"/>
      <c r="F14" s="544"/>
      <c r="G14" s="544"/>
      <c r="H14" s="545"/>
      <c r="I14" s="95">
        <v>60000</v>
      </c>
      <c r="J14" s="199"/>
      <c r="K14" s="209"/>
      <c r="L14" s="197"/>
      <c r="M14" s="221"/>
      <c r="N14" s="153"/>
      <c r="O14" s="197"/>
      <c r="P14" s="153"/>
      <c r="Q14" s="197"/>
      <c r="R14" s="210"/>
    </row>
    <row r="15" spans="1:32" ht="15" customHeight="1" x14ac:dyDescent="0.25">
      <c r="A15" s="529"/>
      <c r="B15" s="539"/>
      <c r="C15" s="546" t="s">
        <v>221</v>
      </c>
      <c r="D15" s="544"/>
      <c r="E15" s="544"/>
      <c r="F15" s="544"/>
      <c r="G15" s="544"/>
      <c r="H15" s="545"/>
      <c r="I15" s="67">
        <v>215093</v>
      </c>
      <c r="J15" s="199"/>
      <c r="K15" s="209"/>
      <c r="L15" s="197"/>
      <c r="M15" s="221"/>
      <c r="N15" s="153"/>
      <c r="O15" s="197"/>
      <c r="P15" s="153"/>
      <c r="Q15" s="197"/>
      <c r="R15" s="210"/>
    </row>
    <row r="16" spans="1:32" ht="15" customHeight="1" x14ac:dyDescent="0.25">
      <c r="A16" s="530"/>
      <c r="B16" s="540"/>
      <c r="C16" s="546" t="s">
        <v>222</v>
      </c>
      <c r="D16" s="544"/>
      <c r="E16" s="544"/>
      <c r="F16" s="544"/>
      <c r="G16" s="544"/>
      <c r="H16" s="545"/>
      <c r="I16" s="67">
        <v>90268</v>
      </c>
      <c r="J16" s="199"/>
      <c r="K16" s="211"/>
      <c r="L16" s="198"/>
      <c r="M16" s="222"/>
      <c r="N16" s="200"/>
      <c r="O16" s="198"/>
      <c r="P16" s="200"/>
      <c r="Q16" s="198"/>
      <c r="R16" s="212"/>
    </row>
    <row r="17" spans="1:19" x14ac:dyDescent="0.25">
      <c r="A17" s="363"/>
      <c r="B17" s="558" t="s">
        <v>223</v>
      </c>
      <c r="C17" s="559"/>
      <c r="D17" s="559"/>
      <c r="E17" s="559"/>
      <c r="F17" s="559"/>
      <c r="G17" s="559"/>
      <c r="H17" s="560"/>
      <c r="I17" s="342">
        <f>SUM(I3:I16)</f>
        <v>821924.91</v>
      </c>
      <c r="J17" s="343">
        <f>SUM(J3:J11)</f>
        <v>700000</v>
      </c>
      <c r="K17" s="348" t="s">
        <v>224</v>
      </c>
      <c r="L17" s="344">
        <f t="shared" ref="L17:R17" si="0">SUM(L3:L16)</f>
        <v>176000</v>
      </c>
      <c r="M17" s="344">
        <f t="shared" si="0"/>
        <v>112000</v>
      </c>
      <c r="N17" s="347">
        <f t="shared" si="0"/>
        <v>100000</v>
      </c>
      <c r="O17" s="345">
        <f t="shared" si="0"/>
        <v>130000</v>
      </c>
      <c r="P17" s="383">
        <f t="shared" si="0"/>
        <v>130000</v>
      </c>
      <c r="Q17" s="345">
        <f t="shared" si="0"/>
        <v>52000</v>
      </c>
      <c r="R17" s="346">
        <f t="shared" si="0"/>
        <v>0</v>
      </c>
      <c r="S17" s="49"/>
    </row>
    <row r="18" spans="1:19" ht="63" customHeight="1" x14ac:dyDescent="0.25">
      <c r="A18" s="549">
        <v>2</v>
      </c>
      <c r="B18" s="551" t="s">
        <v>61</v>
      </c>
      <c r="C18" s="324">
        <v>2.1</v>
      </c>
      <c r="D18" s="325" t="s">
        <v>62</v>
      </c>
      <c r="E18" s="326">
        <v>1</v>
      </c>
      <c r="F18" s="324" t="s">
        <v>18</v>
      </c>
      <c r="G18" s="146" t="s">
        <v>63</v>
      </c>
      <c r="H18" s="327" t="s">
        <v>64</v>
      </c>
      <c r="I18" s="328">
        <v>40000</v>
      </c>
      <c r="J18" s="217">
        <v>30000</v>
      </c>
      <c r="K18" s="329" t="s">
        <v>21</v>
      </c>
      <c r="L18" s="330"/>
      <c r="M18" s="331">
        <v>30000</v>
      </c>
      <c r="N18" s="330"/>
      <c r="O18" s="330"/>
      <c r="P18" s="330"/>
      <c r="Q18" s="330"/>
      <c r="R18" s="332"/>
    </row>
    <row r="19" spans="1:19" ht="43.35" customHeight="1" x14ac:dyDescent="0.25">
      <c r="A19" s="550"/>
      <c r="B19" s="551"/>
      <c r="C19" s="552">
        <v>2.2000000000000002</v>
      </c>
      <c r="D19" s="555" t="s">
        <v>65</v>
      </c>
      <c r="E19" s="326">
        <v>1</v>
      </c>
      <c r="F19" s="324" t="s">
        <v>66</v>
      </c>
      <c r="G19" s="146" t="s">
        <v>63</v>
      </c>
      <c r="H19" s="327" t="s">
        <v>225</v>
      </c>
      <c r="I19" s="328">
        <v>20000</v>
      </c>
      <c r="J19" s="217">
        <v>15000</v>
      </c>
      <c r="K19" s="329" t="s">
        <v>21</v>
      </c>
      <c r="L19" s="330"/>
      <c r="M19" s="331">
        <v>15000</v>
      </c>
      <c r="N19" s="330"/>
      <c r="O19" s="330"/>
      <c r="P19" s="330"/>
      <c r="Q19" s="330"/>
      <c r="R19" s="332"/>
    </row>
    <row r="20" spans="1:19" ht="43.35" customHeight="1" x14ac:dyDescent="0.25">
      <c r="A20" s="550"/>
      <c r="B20" s="551"/>
      <c r="C20" s="553"/>
      <c r="D20" s="556"/>
      <c r="E20" s="326">
        <v>1</v>
      </c>
      <c r="F20" s="324" t="s">
        <v>66</v>
      </c>
      <c r="G20" s="146" t="s">
        <v>63</v>
      </c>
      <c r="H20" s="327" t="s">
        <v>226</v>
      </c>
      <c r="I20" s="328"/>
      <c r="J20" s="217">
        <v>10000</v>
      </c>
      <c r="K20" s="329" t="s">
        <v>28</v>
      </c>
      <c r="L20" s="330"/>
      <c r="M20" s="331"/>
      <c r="N20" s="330">
        <f>J20</f>
        <v>10000</v>
      </c>
      <c r="O20" s="330"/>
      <c r="P20" s="330"/>
      <c r="Q20" s="330"/>
      <c r="R20" s="332"/>
    </row>
    <row r="21" spans="1:19" ht="43.35" customHeight="1" x14ac:dyDescent="0.25">
      <c r="A21" s="550"/>
      <c r="B21" s="551"/>
      <c r="C21" s="554"/>
      <c r="D21" s="557"/>
      <c r="E21" s="326">
        <v>1</v>
      </c>
      <c r="F21" s="324" t="s">
        <v>66</v>
      </c>
      <c r="G21" s="146" t="s">
        <v>63</v>
      </c>
      <c r="H21" s="327" t="s">
        <v>227</v>
      </c>
      <c r="I21" s="328"/>
      <c r="J21" s="217">
        <v>10000</v>
      </c>
      <c r="K21" s="329" t="s">
        <v>33</v>
      </c>
      <c r="L21" s="330"/>
      <c r="M21" s="331"/>
      <c r="N21" s="330"/>
      <c r="O21" s="330">
        <v>10000</v>
      </c>
      <c r="P21" s="330"/>
      <c r="Q21" s="330"/>
      <c r="R21" s="332"/>
    </row>
    <row r="22" spans="1:19" ht="30" x14ac:dyDescent="0.25">
      <c r="A22" s="550"/>
      <c r="B22" s="551"/>
      <c r="C22" s="552">
        <v>2.2999999999999998</v>
      </c>
      <c r="D22" s="555" t="s">
        <v>69</v>
      </c>
      <c r="E22" s="326">
        <v>1</v>
      </c>
      <c r="F22" s="324" t="s">
        <v>66</v>
      </c>
      <c r="G22" s="146" t="s">
        <v>228</v>
      </c>
      <c r="H22" s="327" t="s">
        <v>229</v>
      </c>
      <c r="I22" s="328">
        <v>20000</v>
      </c>
      <c r="J22" s="217">
        <v>20000</v>
      </c>
      <c r="K22" s="329" t="s">
        <v>21</v>
      </c>
      <c r="L22" s="330"/>
      <c r="M22" s="331">
        <f>J22</f>
        <v>20000</v>
      </c>
      <c r="N22" s="330"/>
      <c r="O22" s="330"/>
      <c r="P22" s="330"/>
      <c r="Q22" s="330"/>
      <c r="R22" s="332"/>
    </row>
    <row r="23" spans="1:19" ht="30" x14ac:dyDescent="0.25">
      <c r="A23" s="550"/>
      <c r="B23" s="551"/>
      <c r="C23" s="554"/>
      <c r="D23" s="557"/>
      <c r="E23" s="326">
        <v>1</v>
      </c>
      <c r="F23" s="324" t="s">
        <v>73</v>
      </c>
      <c r="G23" s="146" t="s">
        <v>228</v>
      </c>
      <c r="H23" s="327" t="s">
        <v>230</v>
      </c>
      <c r="I23" s="328"/>
      <c r="J23" s="217">
        <v>90000</v>
      </c>
      <c r="K23" s="329" t="s">
        <v>231</v>
      </c>
      <c r="L23" s="330"/>
      <c r="M23" s="331"/>
      <c r="N23" s="330">
        <v>25000</v>
      </c>
      <c r="O23" s="330">
        <v>25000</v>
      </c>
      <c r="P23" s="330">
        <v>20000</v>
      </c>
      <c r="Q23" s="330">
        <v>20000</v>
      </c>
      <c r="R23" s="332"/>
    </row>
    <row r="24" spans="1:19" ht="45" x14ac:dyDescent="0.25">
      <c r="A24" s="550"/>
      <c r="B24" s="551"/>
      <c r="C24" s="324">
        <v>2.4</v>
      </c>
      <c r="D24" s="325" t="s">
        <v>72</v>
      </c>
      <c r="E24" s="326">
        <v>1</v>
      </c>
      <c r="F24" s="324" t="s">
        <v>232</v>
      </c>
      <c r="G24" s="146" t="s">
        <v>74</v>
      </c>
      <c r="H24" s="327" t="s">
        <v>75</v>
      </c>
      <c r="I24" s="328"/>
      <c r="J24" s="217">
        <v>40000</v>
      </c>
      <c r="K24" s="386" t="s">
        <v>233</v>
      </c>
      <c r="L24" s="330"/>
      <c r="M24" s="331"/>
      <c r="N24" s="330"/>
      <c r="O24" s="330"/>
      <c r="P24" s="330">
        <f>J24</f>
        <v>40000</v>
      </c>
      <c r="Q24" s="330"/>
      <c r="R24" s="332"/>
    </row>
    <row r="25" spans="1:19" ht="30" x14ac:dyDescent="0.25">
      <c r="A25" s="550"/>
      <c r="B25" s="551"/>
      <c r="C25" s="552">
        <v>2.5</v>
      </c>
      <c r="D25" s="555" t="s">
        <v>76</v>
      </c>
      <c r="E25" s="326">
        <v>2</v>
      </c>
      <c r="F25" s="324" t="s">
        <v>77</v>
      </c>
      <c r="G25" s="146" t="s">
        <v>63</v>
      </c>
      <c r="H25" s="327" t="s">
        <v>234</v>
      </c>
      <c r="I25" s="328">
        <v>10000</v>
      </c>
      <c r="J25" s="217">
        <v>5000</v>
      </c>
      <c r="K25" s="329" t="s">
        <v>21</v>
      </c>
      <c r="L25" s="330"/>
      <c r="M25" s="331">
        <f>J25</f>
        <v>5000</v>
      </c>
      <c r="N25" s="330"/>
      <c r="O25" s="330"/>
      <c r="P25" s="330"/>
      <c r="Q25" s="330"/>
      <c r="R25" s="332"/>
    </row>
    <row r="26" spans="1:19" ht="30" x14ac:dyDescent="0.25">
      <c r="A26" s="550"/>
      <c r="B26" s="551"/>
      <c r="C26" s="554"/>
      <c r="D26" s="557"/>
      <c r="E26" s="326">
        <v>2</v>
      </c>
      <c r="F26" s="324" t="s">
        <v>77</v>
      </c>
      <c r="G26" s="146" t="s">
        <v>63</v>
      </c>
      <c r="H26" s="327" t="s">
        <v>235</v>
      </c>
      <c r="I26" s="328"/>
      <c r="J26" s="217">
        <v>5000</v>
      </c>
      <c r="K26" s="329" t="s">
        <v>28</v>
      </c>
      <c r="L26" s="330"/>
      <c r="M26" s="331"/>
      <c r="N26" s="330">
        <v>5000</v>
      </c>
      <c r="O26" s="330"/>
      <c r="P26" s="330"/>
      <c r="Q26" s="330"/>
      <c r="R26" s="332"/>
    </row>
    <row r="27" spans="1:19" ht="45" x14ac:dyDescent="0.25">
      <c r="A27" s="550"/>
      <c r="B27" s="551"/>
      <c r="C27" s="324">
        <v>2.6</v>
      </c>
      <c r="D27" s="325" t="s">
        <v>80</v>
      </c>
      <c r="E27" s="326">
        <v>2</v>
      </c>
      <c r="F27" s="324" t="s">
        <v>66</v>
      </c>
      <c r="G27" s="146" t="s">
        <v>63</v>
      </c>
      <c r="H27" s="327" t="s">
        <v>81</v>
      </c>
      <c r="I27" s="328"/>
      <c r="J27" s="217">
        <v>30000</v>
      </c>
      <c r="K27" s="329" t="s">
        <v>33</v>
      </c>
      <c r="L27" s="330"/>
      <c r="M27" s="331"/>
      <c r="N27" s="330"/>
      <c r="O27" s="330">
        <f>J27</f>
        <v>30000</v>
      </c>
      <c r="P27" s="330"/>
      <c r="Q27" s="330"/>
      <c r="R27" s="332"/>
    </row>
    <row r="28" spans="1:19" ht="45" x14ac:dyDescent="0.25">
      <c r="A28" s="550"/>
      <c r="B28" s="551"/>
      <c r="C28" s="552">
        <v>2.7</v>
      </c>
      <c r="D28" s="555" t="s">
        <v>82</v>
      </c>
      <c r="E28" s="326">
        <v>2</v>
      </c>
      <c r="F28" s="324" t="s">
        <v>83</v>
      </c>
      <c r="G28" s="146" t="s">
        <v>63</v>
      </c>
      <c r="H28" s="327" t="s">
        <v>236</v>
      </c>
      <c r="I28" s="328"/>
      <c r="J28" s="217">
        <v>10000</v>
      </c>
      <c r="K28" s="329" t="s">
        <v>21</v>
      </c>
      <c r="L28" s="330"/>
      <c r="M28" s="331">
        <f>J28</f>
        <v>10000</v>
      </c>
      <c r="N28" s="330"/>
      <c r="O28" s="330"/>
      <c r="P28" s="330"/>
      <c r="Q28" s="330"/>
      <c r="R28" s="332"/>
    </row>
    <row r="29" spans="1:19" ht="45" x14ac:dyDescent="0.25">
      <c r="A29" s="550"/>
      <c r="B29" s="551"/>
      <c r="C29" s="553"/>
      <c r="D29" s="556"/>
      <c r="E29" s="326">
        <v>2</v>
      </c>
      <c r="F29" s="324" t="s">
        <v>83</v>
      </c>
      <c r="G29" s="146" t="s">
        <v>63</v>
      </c>
      <c r="H29" s="327" t="s">
        <v>237</v>
      </c>
      <c r="I29" s="328"/>
      <c r="J29" s="217">
        <v>10000</v>
      </c>
      <c r="K29" s="329" t="s">
        <v>87</v>
      </c>
      <c r="L29" s="330"/>
      <c r="M29" s="331"/>
      <c r="N29" s="330"/>
      <c r="O29" s="330"/>
      <c r="P29" s="330">
        <f>J29</f>
        <v>10000</v>
      </c>
      <c r="Q29" s="330"/>
      <c r="R29" s="332"/>
    </row>
    <row r="30" spans="1:19" ht="30" x14ac:dyDescent="0.25">
      <c r="A30" s="550"/>
      <c r="B30" s="551"/>
      <c r="C30" s="324">
        <v>2.8</v>
      </c>
      <c r="D30" s="234" t="s">
        <v>85</v>
      </c>
      <c r="E30" s="326">
        <v>2</v>
      </c>
      <c r="F30" s="324" t="s">
        <v>66</v>
      </c>
      <c r="G30" s="146" t="s">
        <v>63</v>
      </c>
      <c r="H30" s="327" t="s">
        <v>238</v>
      </c>
      <c r="I30" s="328"/>
      <c r="J30" s="217">
        <v>10000</v>
      </c>
      <c r="K30" s="329" t="s">
        <v>87</v>
      </c>
      <c r="L30" s="330"/>
      <c r="M30" s="331"/>
      <c r="N30" s="330"/>
      <c r="O30" s="330"/>
      <c r="P30" s="330">
        <f>J30</f>
        <v>10000</v>
      </c>
      <c r="Q30" s="330"/>
      <c r="R30" s="332"/>
    </row>
    <row r="31" spans="1:19" ht="30" x14ac:dyDescent="0.25">
      <c r="A31" s="550"/>
      <c r="B31" s="551"/>
      <c r="C31" s="324">
        <v>2.9</v>
      </c>
      <c r="D31" s="325" t="s">
        <v>88</v>
      </c>
      <c r="E31" s="326">
        <v>2</v>
      </c>
      <c r="F31" s="324" t="s">
        <v>66</v>
      </c>
      <c r="G31" s="146" t="s">
        <v>63</v>
      </c>
      <c r="H31" s="327" t="s">
        <v>239</v>
      </c>
      <c r="I31" s="328"/>
      <c r="J31" s="217">
        <v>40000</v>
      </c>
      <c r="K31" s="329" t="s">
        <v>95</v>
      </c>
      <c r="L31" s="330"/>
      <c r="M31" s="331"/>
      <c r="N31" s="330"/>
      <c r="O31" s="330"/>
      <c r="P31" s="330"/>
      <c r="Q31" s="330">
        <f>J31</f>
        <v>40000</v>
      </c>
      <c r="R31" s="332"/>
    </row>
    <row r="32" spans="1:19" ht="30" x14ac:dyDescent="0.25">
      <c r="A32" s="550"/>
      <c r="B32" s="551"/>
      <c r="C32" s="333">
        <v>2.1</v>
      </c>
      <c r="D32" s="325" t="s">
        <v>93</v>
      </c>
      <c r="E32" s="326">
        <v>2</v>
      </c>
      <c r="F32" s="324" t="s">
        <v>73</v>
      </c>
      <c r="G32" s="146" t="s">
        <v>74</v>
      </c>
      <c r="H32" s="327" t="s">
        <v>240</v>
      </c>
      <c r="I32" s="328"/>
      <c r="J32" s="217">
        <v>75000</v>
      </c>
      <c r="K32" s="329" t="s">
        <v>95</v>
      </c>
      <c r="L32" s="330"/>
      <c r="M32" s="331"/>
      <c r="N32" s="330"/>
      <c r="O32" s="330"/>
      <c r="P32" s="330"/>
      <c r="Q32" s="330">
        <v>75000</v>
      </c>
      <c r="R32" s="332"/>
    </row>
    <row r="33" spans="1:19" x14ac:dyDescent="0.25">
      <c r="A33" s="550"/>
      <c r="B33" s="564" t="s">
        <v>96</v>
      </c>
      <c r="C33" s="561" t="s">
        <v>241</v>
      </c>
      <c r="D33" s="562"/>
      <c r="E33" s="562"/>
      <c r="F33" s="562"/>
      <c r="G33" s="562"/>
      <c r="H33" s="563"/>
      <c r="I33" s="337">
        <v>75000</v>
      </c>
      <c r="J33" s="217"/>
      <c r="K33" s="338"/>
      <c r="L33" s="339"/>
      <c r="M33" s="331"/>
      <c r="N33" s="330"/>
      <c r="O33" s="330"/>
      <c r="P33" s="330"/>
      <c r="Q33" s="330"/>
      <c r="R33" s="332"/>
    </row>
    <row r="34" spans="1:19" ht="30" x14ac:dyDescent="0.25">
      <c r="A34" s="550"/>
      <c r="B34" s="565"/>
      <c r="C34" s="334"/>
      <c r="D34" s="335"/>
      <c r="E34" s="335"/>
      <c r="F34" s="335"/>
      <c r="G34" s="335"/>
      <c r="H34" s="336" t="s">
        <v>242</v>
      </c>
      <c r="I34" s="337">
        <v>100000</v>
      </c>
      <c r="J34" s="217"/>
      <c r="K34" s="340"/>
      <c r="L34" s="341"/>
      <c r="M34" s="331"/>
      <c r="N34" s="330"/>
      <c r="O34" s="330"/>
      <c r="P34" s="330"/>
      <c r="Q34" s="330"/>
      <c r="R34" s="332"/>
    </row>
    <row r="35" spans="1:19" x14ac:dyDescent="0.25">
      <c r="A35" s="550"/>
      <c r="B35" s="565"/>
      <c r="C35" s="561" t="s">
        <v>243</v>
      </c>
      <c r="D35" s="562"/>
      <c r="E35" s="562"/>
      <c r="F35" s="562"/>
      <c r="G35" s="562"/>
      <c r="H35" s="563"/>
      <c r="I35" s="337">
        <v>288000</v>
      </c>
      <c r="J35" s="217"/>
      <c r="K35" s="340"/>
      <c r="L35" s="341"/>
      <c r="M35" s="331"/>
      <c r="N35" s="330"/>
      <c r="O35" s="330"/>
      <c r="P35" s="330"/>
      <c r="Q35" s="330"/>
      <c r="R35" s="332"/>
    </row>
    <row r="36" spans="1:19" x14ac:dyDescent="0.25">
      <c r="A36" s="550"/>
      <c r="B36" s="565"/>
      <c r="C36" s="561" t="s">
        <v>244</v>
      </c>
      <c r="D36" s="562"/>
      <c r="E36" s="562"/>
      <c r="F36" s="562"/>
      <c r="G36" s="562"/>
      <c r="H36" s="563"/>
      <c r="I36" s="337">
        <v>40000</v>
      </c>
      <c r="J36" s="217"/>
      <c r="K36" s="340"/>
      <c r="L36" s="341"/>
      <c r="M36" s="331"/>
      <c r="N36" s="330"/>
      <c r="O36" s="330"/>
      <c r="P36" s="330"/>
      <c r="Q36" s="330"/>
      <c r="R36" s="332"/>
    </row>
    <row r="37" spans="1:19" x14ac:dyDescent="0.25">
      <c r="A37" s="550"/>
      <c r="B37" s="565"/>
      <c r="C37" s="561" t="s">
        <v>245</v>
      </c>
      <c r="D37" s="562"/>
      <c r="E37" s="562"/>
      <c r="F37" s="562"/>
      <c r="G37" s="562"/>
      <c r="H37" s="563"/>
      <c r="I37" s="337">
        <f>168000+15000</f>
        <v>183000</v>
      </c>
      <c r="J37" s="217"/>
      <c r="K37" s="340"/>
      <c r="L37" s="341"/>
      <c r="M37" s="331"/>
      <c r="N37" s="330"/>
      <c r="O37" s="330"/>
      <c r="P37" s="330"/>
      <c r="Q37" s="330"/>
      <c r="R37" s="332"/>
    </row>
    <row r="38" spans="1:19" x14ac:dyDescent="0.25">
      <c r="A38" s="550"/>
      <c r="B38" s="565"/>
      <c r="C38" s="561" t="s">
        <v>104</v>
      </c>
      <c r="D38" s="562"/>
      <c r="E38" s="562"/>
      <c r="F38" s="562"/>
      <c r="G38" s="562"/>
      <c r="H38" s="563"/>
      <c r="I38" s="337">
        <v>547346</v>
      </c>
      <c r="J38" s="217"/>
      <c r="K38" s="340"/>
      <c r="L38" s="341"/>
      <c r="M38" s="331"/>
      <c r="N38" s="330"/>
      <c r="O38" s="330"/>
      <c r="P38" s="330"/>
      <c r="Q38" s="330"/>
      <c r="R38" s="332"/>
    </row>
    <row r="39" spans="1:19" x14ac:dyDescent="0.25">
      <c r="A39" s="364"/>
      <c r="B39" s="572" t="s">
        <v>107</v>
      </c>
      <c r="C39" s="573"/>
      <c r="D39" s="573"/>
      <c r="E39" s="573"/>
      <c r="F39" s="573"/>
      <c r="G39" s="573"/>
      <c r="H39" s="574"/>
      <c r="I39" s="319">
        <f>SUM(I18:I38)</f>
        <v>1323346</v>
      </c>
      <c r="J39" s="228">
        <f>SUM(J18:J32)</f>
        <v>400000</v>
      </c>
      <c r="K39" s="320" t="s">
        <v>246</v>
      </c>
      <c r="L39" s="321">
        <f>SUM(L18:L37)</f>
        <v>0</v>
      </c>
      <c r="M39" s="322">
        <f t="shared" ref="M39:R39" si="1">SUM(M18:M38)</f>
        <v>80000</v>
      </c>
      <c r="N39" s="321">
        <f t="shared" si="1"/>
        <v>40000</v>
      </c>
      <c r="O39" s="321">
        <f t="shared" si="1"/>
        <v>65000</v>
      </c>
      <c r="P39" s="321">
        <f t="shared" si="1"/>
        <v>80000</v>
      </c>
      <c r="Q39" s="321">
        <f t="shared" si="1"/>
        <v>135000</v>
      </c>
      <c r="R39" s="323">
        <f t="shared" si="1"/>
        <v>0</v>
      </c>
      <c r="S39" s="318"/>
    </row>
    <row r="40" spans="1:19" ht="36" customHeight="1" x14ac:dyDescent="0.25">
      <c r="A40" s="629">
        <v>3</v>
      </c>
      <c r="B40" s="729" t="s">
        <v>247</v>
      </c>
      <c r="C40" s="292">
        <v>3.1</v>
      </c>
      <c r="D40" s="293" t="s">
        <v>248</v>
      </c>
      <c r="E40" s="294">
        <v>1</v>
      </c>
      <c r="F40" s="292" t="s">
        <v>110</v>
      </c>
      <c r="G40" s="295" t="s">
        <v>249</v>
      </c>
      <c r="H40" s="296" t="s">
        <v>250</v>
      </c>
      <c r="I40" s="297"/>
      <c r="J40" s="379">
        <f>13800+L40</f>
        <v>30067</v>
      </c>
      <c r="K40" s="298" t="s">
        <v>28</v>
      </c>
      <c r="L40" s="371">
        <v>16267</v>
      </c>
      <c r="M40" s="300"/>
      <c r="N40" s="299">
        <v>13800</v>
      </c>
      <c r="O40" s="299"/>
      <c r="P40" s="299"/>
      <c r="Q40" s="299"/>
      <c r="R40" s="301"/>
    </row>
    <row r="41" spans="1:19" ht="36" customHeight="1" x14ac:dyDescent="0.25">
      <c r="A41" s="630"/>
      <c r="B41" s="729"/>
      <c r="C41" s="292">
        <v>3.2</v>
      </c>
      <c r="D41" s="293" t="s">
        <v>251</v>
      </c>
      <c r="E41" s="294">
        <v>1</v>
      </c>
      <c r="F41" s="292" t="s">
        <v>110</v>
      </c>
      <c r="G41" s="295" t="s">
        <v>249</v>
      </c>
      <c r="H41" s="296" t="s">
        <v>252</v>
      </c>
      <c r="I41" s="297"/>
      <c r="J41" s="215">
        <v>33603</v>
      </c>
      <c r="K41" s="302" t="s">
        <v>33</v>
      </c>
      <c r="L41" s="303"/>
      <c r="M41" s="300"/>
      <c r="N41" s="299"/>
      <c r="O41" s="299">
        <f>J41</f>
        <v>33603</v>
      </c>
      <c r="P41" s="299"/>
      <c r="Q41" s="299"/>
      <c r="R41" s="301"/>
    </row>
    <row r="42" spans="1:19" ht="32.1" customHeight="1" x14ac:dyDescent="0.25">
      <c r="A42" s="630"/>
      <c r="B42" s="729"/>
      <c r="C42" s="575">
        <v>3.3</v>
      </c>
      <c r="D42" s="578" t="s">
        <v>253</v>
      </c>
      <c r="E42" s="294">
        <v>1</v>
      </c>
      <c r="F42" s="292" t="s">
        <v>31</v>
      </c>
      <c r="G42" s="295" t="s">
        <v>116</v>
      </c>
      <c r="H42" s="296" t="s">
        <v>254</v>
      </c>
      <c r="I42" s="297"/>
      <c r="J42" s="215">
        <v>20470</v>
      </c>
      <c r="K42" s="302" t="s">
        <v>33</v>
      </c>
      <c r="L42" s="303"/>
      <c r="M42" s="300"/>
      <c r="N42" s="299"/>
      <c r="O42" s="299">
        <f>J42</f>
        <v>20470</v>
      </c>
      <c r="P42" s="299"/>
      <c r="Q42" s="299"/>
      <c r="R42" s="301"/>
    </row>
    <row r="43" spans="1:19" ht="37.35" customHeight="1" x14ac:dyDescent="0.25">
      <c r="A43" s="630"/>
      <c r="B43" s="729"/>
      <c r="C43" s="576"/>
      <c r="D43" s="579"/>
      <c r="E43" s="294">
        <v>1</v>
      </c>
      <c r="F43" s="292" t="s">
        <v>110</v>
      </c>
      <c r="G43" s="295" t="s">
        <v>111</v>
      </c>
      <c r="H43" s="296" t="s">
        <v>255</v>
      </c>
      <c r="I43" s="297"/>
      <c r="J43" s="215">
        <v>69000</v>
      </c>
      <c r="K43" s="302" t="s">
        <v>33</v>
      </c>
      <c r="L43" s="303"/>
      <c r="M43" s="300"/>
      <c r="N43" s="299"/>
      <c r="O43" s="299">
        <f>J43</f>
        <v>69000</v>
      </c>
      <c r="P43" s="299"/>
      <c r="Q43" s="299"/>
      <c r="R43" s="301"/>
    </row>
    <row r="44" spans="1:19" ht="27" customHeight="1" x14ac:dyDescent="0.25">
      <c r="A44" s="630"/>
      <c r="B44" s="729"/>
      <c r="C44" s="577"/>
      <c r="D44" s="580"/>
      <c r="E44" s="294">
        <v>1</v>
      </c>
      <c r="F44" s="292" t="s">
        <v>31</v>
      </c>
      <c r="G44" s="295" t="s">
        <v>116</v>
      </c>
      <c r="H44" s="293" t="s">
        <v>256</v>
      </c>
      <c r="I44" s="297"/>
      <c r="J44" s="215">
        <v>19550</v>
      </c>
      <c r="K44" s="302" t="s">
        <v>33</v>
      </c>
      <c r="L44" s="303"/>
      <c r="M44" s="300"/>
      <c r="N44" s="299"/>
      <c r="O44" s="299">
        <f>J44</f>
        <v>19550</v>
      </c>
      <c r="P44" s="299"/>
      <c r="Q44" s="299"/>
      <c r="R44" s="301"/>
    </row>
    <row r="45" spans="1:19" ht="48" customHeight="1" x14ac:dyDescent="0.25">
      <c r="A45" s="630"/>
      <c r="B45" s="729"/>
      <c r="C45" s="304">
        <v>3.4</v>
      </c>
      <c r="D45" s="305" t="s">
        <v>257</v>
      </c>
      <c r="E45" s="294">
        <v>1</v>
      </c>
      <c r="F45" s="292" t="s">
        <v>31</v>
      </c>
      <c r="G45" s="295" t="s">
        <v>116</v>
      </c>
      <c r="H45" s="306" t="s">
        <v>258</v>
      </c>
      <c r="I45" s="297"/>
      <c r="J45" s="215">
        <v>32200</v>
      </c>
      <c r="K45" s="302" t="s">
        <v>87</v>
      </c>
      <c r="L45" s="303"/>
      <c r="M45" s="300"/>
      <c r="N45" s="299"/>
      <c r="O45" s="299"/>
      <c r="P45" s="299">
        <f t="shared" ref="P45:P51" si="2">J45</f>
        <v>32200</v>
      </c>
      <c r="Q45" s="299"/>
      <c r="R45" s="301"/>
    </row>
    <row r="46" spans="1:19" ht="32.1" customHeight="1" x14ac:dyDescent="0.25">
      <c r="A46" s="630"/>
      <c r="B46" s="729"/>
      <c r="C46" s="575">
        <v>3.5</v>
      </c>
      <c r="D46" s="578" t="s">
        <v>259</v>
      </c>
      <c r="E46" s="294">
        <v>1</v>
      </c>
      <c r="F46" s="292" t="s">
        <v>31</v>
      </c>
      <c r="G46" s="295" t="s">
        <v>116</v>
      </c>
      <c r="H46" s="307" t="s">
        <v>260</v>
      </c>
      <c r="I46" s="297"/>
      <c r="J46" s="215">
        <v>13524</v>
      </c>
      <c r="K46" s="302" t="s">
        <v>87</v>
      </c>
      <c r="L46" s="299"/>
      <c r="M46" s="300"/>
      <c r="N46" s="299"/>
      <c r="O46" s="299"/>
      <c r="P46" s="299">
        <f t="shared" si="2"/>
        <v>13524</v>
      </c>
      <c r="Q46" s="299"/>
      <c r="R46" s="301"/>
    </row>
    <row r="47" spans="1:19" ht="33" customHeight="1" x14ac:dyDescent="0.25">
      <c r="A47" s="630"/>
      <c r="B47" s="729"/>
      <c r="C47" s="576"/>
      <c r="D47" s="579"/>
      <c r="E47" s="294">
        <v>1</v>
      </c>
      <c r="F47" s="292" t="s">
        <v>31</v>
      </c>
      <c r="G47" s="295" t="s">
        <v>116</v>
      </c>
      <c r="H47" s="307" t="s">
        <v>261</v>
      </c>
      <c r="I47" s="297"/>
      <c r="J47" s="215">
        <v>8671</v>
      </c>
      <c r="K47" s="302" t="s">
        <v>87</v>
      </c>
      <c r="L47" s="299"/>
      <c r="M47" s="300"/>
      <c r="N47" s="299"/>
      <c r="O47" s="299"/>
      <c r="P47" s="299">
        <f t="shared" si="2"/>
        <v>8671</v>
      </c>
      <c r="Q47" s="299"/>
      <c r="R47" s="301"/>
    </row>
    <row r="48" spans="1:19" ht="35.450000000000003" customHeight="1" x14ac:dyDescent="0.25">
      <c r="A48" s="630"/>
      <c r="B48" s="729"/>
      <c r="C48" s="577"/>
      <c r="D48" s="580"/>
      <c r="E48" s="294">
        <v>1</v>
      </c>
      <c r="F48" s="292" t="s">
        <v>31</v>
      </c>
      <c r="G48" s="295" t="s">
        <v>116</v>
      </c>
      <c r="H48" s="307" t="s">
        <v>262</v>
      </c>
      <c r="I48" s="297"/>
      <c r="J48" s="215">
        <v>8671</v>
      </c>
      <c r="K48" s="302" t="s">
        <v>87</v>
      </c>
      <c r="L48" s="299"/>
      <c r="M48" s="300"/>
      <c r="N48" s="299"/>
      <c r="O48" s="299"/>
      <c r="P48" s="299">
        <f t="shared" si="2"/>
        <v>8671</v>
      </c>
      <c r="Q48" s="299"/>
      <c r="R48" s="301"/>
    </row>
    <row r="49" spans="1:18" ht="30" x14ac:dyDescent="0.25">
      <c r="A49" s="630"/>
      <c r="B49" s="729"/>
      <c r="C49" s="292">
        <v>3.6</v>
      </c>
      <c r="D49" s="293" t="s">
        <v>263</v>
      </c>
      <c r="E49" s="294">
        <v>1</v>
      </c>
      <c r="F49" s="292" t="s">
        <v>31</v>
      </c>
      <c r="G49" s="295" t="s">
        <v>127</v>
      </c>
      <c r="H49" s="306" t="s">
        <v>264</v>
      </c>
      <c r="I49" s="297"/>
      <c r="J49" s="215">
        <v>5267</v>
      </c>
      <c r="K49" s="302" t="s">
        <v>87</v>
      </c>
      <c r="L49" s="299"/>
      <c r="M49" s="300"/>
      <c r="N49" s="299"/>
      <c r="O49" s="299"/>
      <c r="P49" s="299">
        <f t="shared" si="2"/>
        <v>5267</v>
      </c>
      <c r="Q49" s="299"/>
      <c r="R49" s="301"/>
    </row>
    <row r="50" spans="1:18" ht="43.35" customHeight="1" x14ac:dyDescent="0.25">
      <c r="A50" s="630"/>
      <c r="B50" s="729"/>
      <c r="C50" s="292">
        <v>3.7</v>
      </c>
      <c r="D50" s="293" t="s">
        <v>265</v>
      </c>
      <c r="E50" s="294">
        <v>1</v>
      </c>
      <c r="F50" s="292" t="s">
        <v>31</v>
      </c>
      <c r="G50" s="295" t="s">
        <v>127</v>
      </c>
      <c r="H50" s="307" t="s">
        <v>266</v>
      </c>
      <c r="I50" s="297"/>
      <c r="J50" s="215">
        <v>4577</v>
      </c>
      <c r="K50" s="302" t="s">
        <v>87</v>
      </c>
      <c r="L50" s="299"/>
      <c r="M50" s="300"/>
      <c r="N50" s="299"/>
      <c r="O50" s="299"/>
      <c r="P50" s="299">
        <f t="shared" si="2"/>
        <v>4577</v>
      </c>
      <c r="Q50" s="299"/>
      <c r="R50" s="301"/>
    </row>
    <row r="51" spans="1:18" ht="30" x14ac:dyDescent="0.25">
      <c r="A51" s="630"/>
      <c r="B51" s="729"/>
      <c r="C51" s="292">
        <v>3.8</v>
      </c>
      <c r="D51" s="293" t="s">
        <v>267</v>
      </c>
      <c r="E51" s="294">
        <v>1</v>
      </c>
      <c r="F51" s="292" t="s">
        <v>31</v>
      </c>
      <c r="G51" s="295" t="s">
        <v>116</v>
      </c>
      <c r="H51" s="307" t="s">
        <v>268</v>
      </c>
      <c r="I51" s="297"/>
      <c r="J51" s="215">
        <v>21436</v>
      </c>
      <c r="K51" s="302" t="s">
        <v>87</v>
      </c>
      <c r="L51" s="299"/>
      <c r="M51" s="300"/>
      <c r="N51" s="299"/>
      <c r="O51" s="299"/>
      <c r="P51" s="299">
        <f t="shared" si="2"/>
        <v>21436</v>
      </c>
      <c r="Q51" s="299"/>
      <c r="R51" s="301"/>
    </row>
    <row r="52" spans="1:18" ht="30" x14ac:dyDescent="0.25">
      <c r="A52" s="630"/>
      <c r="B52" s="729"/>
      <c r="C52" s="292">
        <v>3.9</v>
      </c>
      <c r="D52" s="293" t="s">
        <v>269</v>
      </c>
      <c r="E52" s="294">
        <v>2</v>
      </c>
      <c r="F52" s="292" t="s">
        <v>31</v>
      </c>
      <c r="G52" s="295" t="s">
        <v>270</v>
      </c>
      <c r="H52" s="308" t="s">
        <v>271</v>
      </c>
      <c r="I52" s="297"/>
      <c r="J52" s="215">
        <v>30000</v>
      </c>
      <c r="K52" s="298" t="s">
        <v>95</v>
      </c>
      <c r="L52" s="299"/>
      <c r="M52" s="300"/>
      <c r="N52" s="299"/>
      <c r="O52" s="299"/>
      <c r="P52" s="299"/>
      <c r="Q52" s="299">
        <f>J52</f>
        <v>30000</v>
      </c>
      <c r="R52" s="301"/>
    </row>
    <row r="53" spans="1:18" x14ac:dyDescent="0.25">
      <c r="A53" s="630"/>
      <c r="B53" s="729"/>
      <c r="C53" s="309">
        <v>3.1</v>
      </c>
      <c r="D53" s="293" t="s">
        <v>272</v>
      </c>
      <c r="E53" s="294">
        <v>2</v>
      </c>
      <c r="F53" s="292" t="s">
        <v>31</v>
      </c>
      <c r="G53" s="295" t="s">
        <v>270</v>
      </c>
      <c r="H53" s="308" t="s">
        <v>273</v>
      </c>
      <c r="I53" s="297"/>
      <c r="J53" s="379">
        <f>454931-L40</f>
        <v>438664</v>
      </c>
      <c r="K53" s="298" t="s">
        <v>129</v>
      </c>
      <c r="L53" s="371"/>
      <c r="M53" s="300"/>
      <c r="N53" s="299"/>
      <c r="O53" s="299"/>
      <c r="P53" s="299"/>
      <c r="Q53" s="299"/>
      <c r="R53" s="301">
        <f>J53-L53</f>
        <v>438664</v>
      </c>
    </row>
    <row r="54" spans="1:18" ht="30" x14ac:dyDescent="0.25">
      <c r="A54" s="630"/>
      <c r="B54" s="729"/>
      <c r="C54" s="292">
        <v>3.11</v>
      </c>
      <c r="D54" s="293" t="s">
        <v>274</v>
      </c>
      <c r="E54" s="294">
        <v>2</v>
      </c>
      <c r="F54" s="292" t="s">
        <v>31</v>
      </c>
      <c r="G54" s="295" t="s">
        <v>116</v>
      </c>
      <c r="H54" s="293" t="s">
        <v>275</v>
      </c>
      <c r="I54" s="297"/>
      <c r="J54" s="215">
        <v>64300</v>
      </c>
      <c r="K54" s="298" t="s">
        <v>129</v>
      </c>
      <c r="L54" s="299"/>
      <c r="M54" s="300"/>
      <c r="N54" s="299"/>
      <c r="O54" s="299"/>
      <c r="P54" s="299"/>
      <c r="Q54" s="299"/>
      <c r="R54" s="301">
        <f>J54-L54</f>
        <v>64300</v>
      </c>
    </row>
    <row r="55" spans="1:18" ht="15" customHeight="1" x14ac:dyDescent="0.25">
      <c r="A55" s="630"/>
      <c r="B55" s="586" t="s">
        <v>276</v>
      </c>
      <c r="C55" s="730" t="s">
        <v>277</v>
      </c>
      <c r="D55" s="731"/>
      <c r="E55" s="731"/>
      <c r="F55" s="731"/>
      <c r="G55" s="731"/>
      <c r="H55" s="732"/>
      <c r="I55" s="310">
        <v>200000</v>
      </c>
      <c r="J55" s="215"/>
      <c r="K55" s="302"/>
      <c r="L55" s="303"/>
      <c r="M55" s="300"/>
      <c r="N55" s="299"/>
      <c r="O55" s="299"/>
      <c r="P55" s="299"/>
      <c r="Q55" s="299"/>
      <c r="R55" s="301"/>
    </row>
    <row r="56" spans="1:18" ht="15" customHeight="1" x14ac:dyDescent="0.25">
      <c r="A56" s="630"/>
      <c r="B56" s="587"/>
      <c r="C56" s="593" t="s">
        <v>136</v>
      </c>
      <c r="D56" s="594"/>
      <c r="E56" s="594"/>
      <c r="F56" s="594"/>
      <c r="G56" s="594"/>
      <c r="H56" s="595"/>
      <c r="I56" s="310">
        <v>50000</v>
      </c>
      <c r="J56" s="215"/>
      <c r="K56" s="314"/>
      <c r="L56" s="315"/>
      <c r="M56" s="300"/>
      <c r="N56" s="299"/>
      <c r="O56" s="299"/>
      <c r="P56" s="299"/>
      <c r="Q56" s="299"/>
      <c r="R56" s="301"/>
    </row>
    <row r="57" spans="1:18" ht="15" customHeight="1" x14ac:dyDescent="0.25">
      <c r="A57" s="630"/>
      <c r="B57" s="587"/>
      <c r="C57" s="593" t="s">
        <v>278</v>
      </c>
      <c r="D57" s="594"/>
      <c r="E57" s="594"/>
      <c r="F57" s="594"/>
      <c r="G57" s="594"/>
      <c r="H57" s="595"/>
      <c r="I57" s="310">
        <v>27216</v>
      </c>
      <c r="J57" s="215"/>
      <c r="K57" s="314"/>
      <c r="L57" s="315"/>
      <c r="M57" s="300"/>
      <c r="N57" s="299"/>
      <c r="O57" s="299"/>
      <c r="P57" s="299"/>
      <c r="Q57" s="299"/>
      <c r="R57" s="301"/>
    </row>
    <row r="58" spans="1:18" ht="15" customHeight="1" x14ac:dyDescent="0.25">
      <c r="A58" s="630"/>
      <c r="B58" s="587"/>
      <c r="C58" s="593" t="s">
        <v>279</v>
      </c>
      <c r="D58" s="594"/>
      <c r="E58" s="594"/>
      <c r="F58" s="594"/>
      <c r="G58" s="594"/>
      <c r="H58" s="595"/>
      <c r="I58" s="310">
        <v>18480</v>
      </c>
      <c r="J58" s="215"/>
      <c r="K58" s="314"/>
      <c r="L58" s="315"/>
      <c r="M58" s="300"/>
      <c r="N58" s="299"/>
      <c r="O58" s="299"/>
      <c r="P58" s="299"/>
      <c r="Q58" s="299"/>
      <c r="R58" s="301"/>
    </row>
    <row r="59" spans="1:18" ht="15" customHeight="1" x14ac:dyDescent="0.25">
      <c r="A59" s="630"/>
      <c r="B59" s="587"/>
      <c r="C59" s="311"/>
      <c r="D59" s="312"/>
      <c r="E59" s="312"/>
      <c r="F59" s="312"/>
      <c r="G59" s="312"/>
      <c r="H59" s="313" t="s">
        <v>280</v>
      </c>
      <c r="I59" s="310">
        <v>45000</v>
      </c>
      <c r="J59" s="215"/>
      <c r="K59" s="314"/>
      <c r="L59" s="315"/>
      <c r="M59" s="300"/>
      <c r="N59" s="299"/>
      <c r="O59" s="299"/>
      <c r="P59" s="299"/>
      <c r="Q59" s="299"/>
      <c r="R59" s="301"/>
    </row>
    <row r="60" spans="1:18" ht="15" customHeight="1" x14ac:dyDescent="0.25">
      <c r="A60" s="630"/>
      <c r="B60" s="587"/>
      <c r="C60" s="593" t="s">
        <v>281</v>
      </c>
      <c r="D60" s="594"/>
      <c r="E60" s="594"/>
      <c r="F60" s="594"/>
      <c r="G60" s="594"/>
      <c r="H60" s="595"/>
      <c r="I60" s="310">
        <v>88165</v>
      </c>
      <c r="J60" s="215"/>
      <c r="K60" s="314"/>
      <c r="L60" s="315"/>
      <c r="M60" s="300"/>
      <c r="N60" s="299"/>
      <c r="O60" s="299"/>
      <c r="P60" s="299"/>
      <c r="Q60" s="299"/>
      <c r="R60" s="301"/>
    </row>
    <row r="61" spans="1:18" ht="15" customHeight="1" x14ac:dyDescent="0.25">
      <c r="A61" s="630"/>
      <c r="B61" s="587"/>
      <c r="C61" s="311"/>
      <c r="D61" s="312"/>
      <c r="E61" s="312"/>
      <c r="F61" s="312"/>
      <c r="G61" s="312"/>
      <c r="H61" s="313" t="s">
        <v>282</v>
      </c>
      <c r="I61" s="310">
        <v>55000</v>
      </c>
      <c r="J61" s="215"/>
      <c r="K61" s="314"/>
      <c r="L61" s="315"/>
      <c r="M61" s="300"/>
      <c r="N61" s="299"/>
      <c r="O61" s="299"/>
      <c r="P61" s="299"/>
      <c r="Q61" s="299"/>
      <c r="R61" s="301"/>
    </row>
    <row r="62" spans="1:18" ht="15" customHeight="1" x14ac:dyDescent="0.25">
      <c r="A62" s="630"/>
      <c r="B62" s="587"/>
      <c r="C62" s="593" t="s">
        <v>283</v>
      </c>
      <c r="D62" s="594"/>
      <c r="E62" s="594"/>
      <c r="F62" s="594"/>
      <c r="G62" s="594"/>
      <c r="H62" s="595"/>
      <c r="I62" s="310">
        <f>9000+13000</f>
        <v>22000</v>
      </c>
      <c r="J62" s="215"/>
      <c r="K62" s="314"/>
      <c r="L62" s="315"/>
      <c r="M62" s="300"/>
      <c r="N62" s="299"/>
      <c r="O62" s="299"/>
      <c r="P62" s="299"/>
      <c r="Q62" s="299"/>
      <c r="R62" s="301"/>
    </row>
    <row r="63" spans="1:18" ht="15" customHeight="1" x14ac:dyDescent="0.25">
      <c r="A63" s="630"/>
      <c r="B63" s="587"/>
      <c r="C63" s="311"/>
      <c r="D63" s="312"/>
      <c r="E63" s="312"/>
      <c r="F63" s="312"/>
      <c r="G63" s="312"/>
      <c r="H63" s="313" t="s">
        <v>284</v>
      </c>
      <c r="I63" s="310">
        <v>26000</v>
      </c>
      <c r="J63" s="215"/>
      <c r="K63" s="314"/>
      <c r="L63" s="315"/>
      <c r="M63" s="300"/>
      <c r="N63" s="299"/>
      <c r="O63" s="299"/>
      <c r="P63" s="299"/>
      <c r="Q63" s="299"/>
      <c r="R63" s="301"/>
    </row>
    <row r="64" spans="1:18" ht="15" customHeight="1" x14ac:dyDescent="0.25">
      <c r="A64" s="630"/>
      <c r="B64" s="587"/>
      <c r="C64" s="593" t="s">
        <v>285</v>
      </c>
      <c r="D64" s="594"/>
      <c r="E64" s="594"/>
      <c r="F64" s="594"/>
      <c r="G64" s="594"/>
      <c r="H64" s="595"/>
      <c r="I64" s="310">
        <v>20000</v>
      </c>
      <c r="J64" s="215"/>
      <c r="K64" s="314"/>
      <c r="L64" s="315"/>
      <c r="M64" s="300"/>
      <c r="N64" s="299"/>
      <c r="O64" s="299"/>
      <c r="P64" s="299"/>
      <c r="Q64" s="299"/>
      <c r="R64" s="301"/>
    </row>
    <row r="65" spans="1:19" ht="15" customHeight="1" x14ac:dyDescent="0.25">
      <c r="A65" s="631"/>
      <c r="B65" s="588"/>
      <c r="C65" s="593" t="s">
        <v>146</v>
      </c>
      <c r="D65" s="594"/>
      <c r="E65" s="594"/>
      <c r="F65" s="594"/>
      <c r="G65" s="594"/>
      <c r="H65" s="595"/>
      <c r="I65" s="310">
        <f>88000+19500</f>
        <v>107500</v>
      </c>
      <c r="J65" s="215"/>
      <c r="K65" s="316"/>
      <c r="L65" s="317"/>
      <c r="M65" s="300"/>
      <c r="N65" s="299"/>
      <c r="O65" s="299"/>
      <c r="P65" s="299"/>
      <c r="Q65" s="299"/>
      <c r="R65" s="301"/>
    </row>
    <row r="66" spans="1:19" x14ac:dyDescent="0.25">
      <c r="A66" s="365"/>
      <c r="B66" s="660" t="s">
        <v>286</v>
      </c>
      <c r="C66" s="661"/>
      <c r="D66" s="661"/>
      <c r="E66" s="661"/>
      <c r="F66" s="661"/>
      <c r="G66" s="661"/>
      <c r="H66" s="662"/>
      <c r="I66" s="291">
        <f>SUM(I40:I65)</f>
        <v>659361</v>
      </c>
      <c r="J66" s="36">
        <f>SUM(J40:J54)</f>
        <v>800000</v>
      </c>
      <c r="K66" s="290" t="s">
        <v>287</v>
      </c>
      <c r="L66" s="223">
        <f t="shared" ref="L66:R66" si="3">SUM(L40:L65)</f>
        <v>16267</v>
      </c>
      <c r="M66" s="223">
        <f t="shared" si="3"/>
        <v>0</v>
      </c>
      <c r="N66" s="194">
        <f t="shared" si="3"/>
        <v>13800</v>
      </c>
      <c r="O66" s="218">
        <f t="shared" si="3"/>
        <v>142623</v>
      </c>
      <c r="P66" s="194">
        <f t="shared" si="3"/>
        <v>94346</v>
      </c>
      <c r="Q66" s="194">
        <f t="shared" si="3"/>
        <v>30000</v>
      </c>
      <c r="R66" s="226">
        <f t="shared" si="3"/>
        <v>502964</v>
      </c>
      <c r="S66" s="148"/>
    </row>
    <row r="67" spans="1:19" ht="30" x14ac:dyDescent="0.25">
      <c r="A67" s="632">
        <v>4</v>
      </c>
      <c r="B67" s="639" t="s">
        <v>148</v>
      </c>
      <c r="C67" s="262">
        <v>4.0999999999999996</v>
      </c>
      <c r="D67" s="263" t="s">
        <v>288</v>
      </c>
      <c r="E67" s="264">
        <v>1</v>
      </c>
      <c r="F67" s="262" t="s">
        <v>66</v>
      </c>
      <c r="G67" s="265" t="s">
        <v>289</v>
      </c>
      <c r="H67" s="266" t="s">
        <v>290</v>
      </c>
      <c r="I67" s="267"/>
      <c r="J67" s="379">
        <f>36750+L67</f>
        <v>53017</v>
      </c>
      <c r="K67" s="269" t="s">
        <v>291</v>
      </c>
      <c r="L67" s="371">
        <f>32534/2</f>
        <v>16267</v>
      </c>
      <c r="M67" s="271"/>
      <c r="N67" s="270">
        <v>36750</v>
      </c>
      <c r="O67" s="270"/>
      <c r="P67" s="270"/>
      <c r="Q67" s="270"/>
      <c r="R67" s="272"/>
    </row>
    <row r="68" spans="1:19" ht="42" customHeight="1" x14ac:dyDescent="0.25">
      <c r="A68" s="633"/>
      <c r="B68" s="639"/>
      <c r="C68" s="601">
        <v>4.2</v>
      </c>
      <c r="D68" s="603" t="s">
        <v>292</v>
      </c>
      <c r="E68" s="264">
        <v>1</v>
      </c>
      <c r="F68" s="262" t="s">
        <v>66</v>
      </c>
      <c r="G68" s="265" t="s">
        <v>157</v>
      </c>
      <c r="H68" s="263" t="s">
        <v>293</v>
      </c>
      <c r="I68" s="273"/>
      <c r="J68" s="268">
        <v>24950</v>
      </c>
      <c r="K68" s="269" t="s">
        <v>33</v>
      </c>
      <c r="L68" s="274"/>
      <c r="M68" s="271"/>
      <c r="N68" s="270"/>
      <c r="O68" s="270">
        <f>J68</f>
        <v>24950</v>
      </c>
      <c r="P68" s="270"/>
      <c r="Q68" s="270"/>
      <c r="R68" s="272"/>
    </row>
    <row r="69" spans="1:19" ht="45" x14ac:dyDescent="0.25">
      <c r="A69" s="633"/>
      <c r="B69" s="639"/>
      <c r="C69" s="640"/>
      <c r="D69" s="641"/>
      <c r="E69" s="264">
        <v>1</v>
      </c>
      <c r="F69" s="262" t="s">
        <v>73</v>
      </c>
      <c r="G69" s="265" t="s">
        <v>157</v>
      </c>
      <c r="H69" s="263" t="s">
        <v>294</v>
      </c>
      <c r="I69" s="273"/>
      <c r="J69" s="268">
        <v>23900</v>
      </c>
      <c r="K69" s="269" t="s">
        <v>33</v>
      </c>
      <c r="L69" s="274"/>
      <c r="M69" s="271"/>
      <c r="N69" s="270"/>
      <c r="O69" s="270">
        <f>J69</f>
        <v>23900</v>
      </c>
      <c r="P69" s="270"/>
      <c r="Q69" s="270"/>
      <c r="R69" s="272"/>
    </row>
    <row r="70" spans="1:19" ht="45" x14ac:dyDescent="0.25">
      <c r="A70" s="633"/>
      <c r="B70" s="639"/>
      <c r="C70" s="640"/>
      <c r="D70" s="641"/>
      <c r="E70" s="264">
        <v>1</v>
      </c>
      <c r="F70" s="262" t="s">
        <v>73</v>
      </c>
      <c r="G70" s="265" t="s">
        <v>157</v>
      </c>
      <c r="H70" s="263" t="s">
        <v>295</v>
      </c>
      <c r="I70" s="267"/>
      <c r="J70" s="268">
        <v>10550</v>
      </c>
      <c r="K70" s="269" t="s">
        <v>33</v>
      </c>
      <c r="L70" s="270"/>
      <c r="M70" s="271"/>
      <c r="N70" s="270"/>
      <c r="O70" s="270">
        <f>J70</f>
        <v>10550</v>
      </c>
      <c r="P70" s="270"/>
      <c r="Q70" s="270"/>
      <c r="R70" s="272"/>
    </row>
    <row r="71" spans="1:19" ht="30" x14ac:dyDescent="0.25">
      <c r="A71" s="633"/>
      <c r="B71" s="639"/>
      <c r="C71" s="640"/>
      <c r="D71" s="604"/>
      <c r="E71" s="264">
        <v>1</v>
      </c>
      <c r="F71" s="262" t="s">
        <v>73</v>
      </c>
      <c r="G71" s="265" t="s">
        <v>296</v>
      </c>
      <c r="H71" s="266" t="s">
        <v>297</v>
      </c>
      <c r="I71" s="267"/>
      <c r="J71" s="268">
        <v>65000</v>
      </c>
      <c r="K71" s="269" t="s">
        <v>33</v>
      </c>
      <c r="L71" s="270"/>
      <c r="M71" s="271"/>
      <c r="N71" s="270"/>
      <c r="O71" s="270">
        <f>J71</f>
        <v>65000</v>
      </c>
      <c r="P71" s="270"/>
      <c r="Q71" s="270"/>
      <c r="R71" s="272"/>
    </row>
    <row r="72" spans="1:19" ht="30" x14ac:dyDescent="0.25">
      <c r="A72" s="633"/>
      <c r="B72" s="639"/>
      <c r="C72" s="262">
        <v>4.3</v>
      </c>
      <c r="D72" s="275" t="s">
        <v>298</v>
      </c>
      <c r="E72" s="264">
        <v>1</v>
      </c>
      <c r="F72" s="262" t="s">
        <v>31</v>
      </c>
      <c r="G72" s="265" t="s">
        <v>157</v>
      </c>
      <c r="H72" s="266" t="s">
        <v>299</v>
      </c>
      <c r="I72" s="267"/>
      <c r="J72" s="268">
        <v>49700</v>
      </c>
      <c r="K72" s="269" t="s">
        <v>33</v>
      </c>
      <c r="L72" s="270"/>
      <c r="M72" s="271"/>
      <c r="N72" s="270"/>
      <c r="O72" s="270">
        <f>J72</f>
        <v>49700</v>
      </c>
      <c r="P72" s="270"/>
      <c r="Q72" s="270"/>
      <c r="R72" s="272"/>
    </row>
    <row r="73" spans="1:19" ht="30" x14ac:dyDescent="0.25">
      <c r="A73" s="633"/>
      <c r="B73" s="639"/>
      <c r="C73" s="262">
        <v>4.4000000000000004</v>
      </c>
      <c r="D73" s="275" t="s">
        <v>300</v>
      </c>
      <c r="E73" s="264">
        <v>1</v>
      </c>
      <c r="F73" s="262" t="s">
        <v>31</v>
      </c>
      <c r="G73" s="265" t="s">
        <v>157</v>
      </c>
      <c r="H73" s="266" t="s">
        <v>301</v>
      </c>
      <c r="I73" s="267"/>
      <c r="J73" s="268">
        <v>36900</v>
      </c>
      <c r="K73" s="269" t="s">
        <v>87</v>
      </c>
      <c r="L73" s="270"/>
      <c r="M73" s="271"/>
      <c r="N73" s="270"/>
      <c r="O73" s="270"/>
      <c r="P73" s="270">
        <f t="shared" ref="P73:P77" si="4">J73</f>
        <v>36900</v>
      </c>
      <c r="Q73" s="270"/>
      <c r="R73" s="272"/>
    </row>
    <row r="74" spans="1:19" ht="30" x14ac:dyDescent="0.25">
      <c r="A74" s="633"/>
      <c r="B74" s="639"/>
      <c r="C74" s="262">
        <v>4.5</v>
      </c>
      <c r="D74" s="276" t="s">
        <v>302</v>
      </c>
      <c r="E74" s="264">
        <v>1</v>
      </c>
      <c r="F74" s="262" t="s">
        <v>31</v>
      </c>
      <c r="G74" s="265" t="s">
        <v>157</v>
      </c>
      <c r="H74" s="266" t="s">
        <v>303</v>
      </c>
      <c r="I74" s="267"/>
      <c r="J74" s="268">
        <v>65450</v>
      </c>
      <c r="K74" s="269" t="s">
        <v>87</v>
      </c>
      <c r="L74" s="270"/>
      <c r="M74" s="271"/>
      <c r="N74" s="270"/>
      <c r="O74" s="270"/>
      <c r="P74" s="270">
        <f t="shared" si="4"/>
        <v>65450</v>
      </c>
      <c r="Q74" s="270"/>
      <c r="R74" s="272"/>
    </row>
    <row r="75" spans="1:19" ht="30" x14ac:dyDescent="0.25">
      <c r="A75" s="633"/>
      <c r="B75" s="639"/>
      <c r="C75" s="262">
        <v>4.5999999999999996</v>
      </c>
      <c r="D75" s="276" t="s">
        <v>304</v>
      </c>
      <c r="E75" s="264">
        <v>1</v>
      </c>
      <c r="F75" s="262" t="s">
        <v>31</v>
      </c>
      <c r="G75" s="265" t="s">
        <v>157</v>
      </c>
      <c r="H75" s="266" t="s">
        <v>305</v>
      </c>
      <c r="I75" s="267"/>
      <c r="J75" s="268">
        <v>47200</v>
      </c>
      <c r="K75" s="269" t="s">
        <v>87</v>
      </c>
      <c r="L75" s="270"/>
      <c r="M75" s="271"/>
      <c r="N75" s="270"/>
      <c r="O75" s="270"/>
      <c r="P75" s="270">
        <f t="shared" si="4"/>
        <v>47200</v>
      </c>
      <c r="Q75" s="270"/>
      <c r="R75" s="272"/>
    </row>
    <row r="76" spans="1:19" x14ac:dyDescent="0.25">
      <c r="A76" s="633"/>
      <c r="B76" s="639"/>
      <c r="C76" s="262">
        <v>4.7</v>
      </c>
      <c r="D76" s="263" t="s">
        <v>306</v>
      </c>
      <c r="E76" s="264">
        <v>1</v>
      </c>
      <c r="F76" s="262" t="s">
        <v>73</v>
      </c>
      <c r="G76" s="265" t="s">
        <v>307</v>
      </c>
      <c r="H76" s="266" t="s">
        <v>308</v>
      </c>
      <c r="I76" s="267"/>
      <c r="J76" s="268">
        <v>80000</v>
      </c>
      <c r="K76" s="269" t="s">
        <v>87</v>
      </c>
      <c r="L76" s="270"/>
      <c r="M76" s="271"/>
      <c r="N76" s="270"/>
      <c r="O76" s="270"/>
      <c r="P76" s="270">
        <f t="shared" si="4"/>
        <v>80000</v>
      </c>
      <c r="Q76" s="270"/>
      <c r="R76" s="272"/>
    </row>
    <row r="77" spans="1:19" x14ac:dyDescent="0.25">
      <c r="A77" s="633"/>
      <c r="B77" s="639"/>
      <c r="C77" s="262">
        <v>4.8</v>
      </c>
      <c r="D77" s="277" t="s">
        <v>161</v>
      </c>
      <c r="E77" s="264">
        <v>2</v>
      </c>
      <c r="F77" s="262" t="s">
        <v>31</v>
      </c>
      <c r="G77" s="265" t="s">
        <v>270</v>
      </c>
      <c r="H77" s="266" t="s">
        <v>309</v>
      </c>
      <c r="I77" s="267"/>
      <c r="J77" s="268">
        <v>19600</v>
      </c>
      <c r="K77" s="269" t="s">
        <v>87</v>
      </c>
      <c r="L77" s="270"/>
      <c r="M77" s="271"/>
      <c r="N77" s="270"/>
      <c r="O77" s="270"/>
      <c r="P77" s="270">
        <f t="shared" si="4"/>
        <v>19600</v>
      </c>
      <c r="Q77" s="270"/>
      <c r="R77" s="272"/>
    </row>
    <row r="78" spans="1:19" ht="45" x14ac:dyDescent="0.25">
      <c r="A78" s="633"/>
      <c r="B78" s="639"/>
      <c r="C78" s="278">
        <v>4.9000000000000004</v>
      </c>
      <c r="D78" s="276" t="s">
        <v>310</v>
      </c>
      <c r="E78" s="264">
        <v>2</v>
      </c>
      <c r="F78" s="262" t="s">
        <v>31</v>
      </c>
      <c r="G78" s="265" t="s">
        <v>270</v>
      </c>
      <c r="H78" s="266" t="s">
        <v>311</v>
      </c>
      <c r="I78" s="267"/>
      <c r="J78" s="379">
        <f>L78</f>
        <v>78733</v>
      </c>
      <c r="K78" s="269" t="s">
        <v>312</v>
      </c>
      <c r="L78" s="371">
        <f>(95000-L67)</f>
        <v>78733</v>
      </c>
      <c r="M78" s="271"/>
      <c r="N78" s="270"/>
      <c r="O78" s="270"/>
      <c r="P78" s="270"/>
      <c r="Q78" s="270"/>
      <c r="R78" s="272"/>
    </row>
    <row r="79" spans="1:19" ht="60" customHeight="1" x14ac:dyDescent="0.25">
      <c r="A79" s="633"/>
      <c r="B79" s="639"/>
      <c r="C79" s="262">
        <v>4.0999999999999996</v>
      </c>
      <c r="D79" s="276" t="s">
        <v>167</v>
      </c>
      <c r="E79" s="264">
        <v>2</v>
      </c>
      <c r="F79" s="262" t="s">
        <v>31</v>
      </c>
      <c r="G79" s="265" t="s">
        <v>313</v>
      </c>
      <c r="H79" s="266" t="s">
        <v>314</v>
      </c>
      <c r="I79" s="267"/>
      <c r="J79" s="268">
        <v>105000</v>
      </c>
      <c r="K79" s="269" t="s">
        <v>95</v>
      </c>
      <c r="L79" s="270"/>
      <c r="M79" s="271"/>
      <c r="N79" s="270"/>
      <c r="O79" s="270"/>
      <c r="P79" s="270"/>
      <c r="Q79" s="270">
        <v>105000</v>
      </c>
      <c r="R79" s="272"/>
    </row>
    <row r="80" spans="1:19" ht="60" x14ac:dyDescent="0.25">
      <c r="A80" s="633"/>
      <c r="B80" s="639"/>
      <c r="C80" s="279">
        <v>4.1100000000000003</v>
      </c>
      <c r="D80" s="276" t="s">
        <v>170</v>
      </c>
      <c r="E80" s="264">
        <v>2</v>
      </c>
      <c r="F80" s="262" t="s">
        <v>31</v>
      </c>
      <c r="G80" s="265" t="s">
        <v>315</v>
      </c>
      <c r="H80" s="266" t="s">
        <v>316</v>
      </c>
      <c r="I80" s="267"/>
      <c r="J80" s="268">
        <v>120000</v>
      </c>
      <c r="K80" s="269" t="s">
        <v>95</v>
      </c>
      <c r="L80" s="270"/>
      <c r="M80" s="271"/>
      <c r="N80" s="270"/>
      <c r="O80" s="270"/>
      <c r="P80" s="270"/>
      <c r="Q80" s="270">
        <f>J80</f>
        <v>120000</v>
      </c>
      <c r="R80" s="272"/>
    </row>
    <row r="81" spans="1:19" ht="45" x14ac:dyDescent="0.25">
      <c r="A81" s="633"/>
      <c r="B81" s="184"/>
      <c r="C81" s="279">
        <v>4.12</v>
      </c>
      <c r="D81" s="263" t="s">
        <v>317</v>
      </c>
      <c r="E81" s="264">
        <v>2</v>
      </c>
      <c r="F81" s="262" t="s">
        <v>31</v>
      </c>
      <c r="G81" s="262" t="s">
        <v>318</v>
      </c>
      <c r="H81" s="280" t="s">
        <v>319</v>
      </c>
      <c r="I81" s="281"/>
      <c r="J81" s="268">
        <v>170000</v>
      </c>
      <c r="K81" s="282" t="s">
        <v>129</v>
      </c>
      <c r="L81" s="283"/>
      <c r="M81" s="271"/>
      <c r="N81" s="270"/>
      <c r="O81" s="270"/>
      <c r="P81" s="270"/>
      <c r="Q81" s="270"/>
      <c r="R81" s="272">
        <f>J81</f>
        <v>170000</v>
      </c>
    </row>
    <row r="82" spans="1:19" ht="15" customHeight="1" x14ac:dyDescent="0.25">
      <c r="A82" s="633"/>
      <c r="B82" s="635" t="s">
        <v>320</v>
      </c>
      <c r="C82" s="522" t="s">
        <v>175</v>
      </c>
      <c r="D82" s="523"/>
      <c r="E82" s="523"/>
      <c r="F82" s="523"/>
      <c r="G82" s="523"/>
      <c r="H82" s="524"/>
      <c r="I82" s="285">
        <v>237500</v>
      </c>
      <c r="J82" s="268"/>
      <c r="K82" s="282"/>
      <c r="L82" s="283"/>
      <c r="M82" s="271"/>
      <c r="N82" s="270"/>
      <c r="O82" s="270"/>
      <c r="P82" s="270"/>
      <c r="Q82" s="270"/>
      <c r="R82" s="272"/>
    </row>
    <row r="83" spans="1:19" ht="20.25" customHeight="1" x14ac:dyDescent="0.25">
      <c r="A83" s="633"/>
      <c r="B83" s="636"/>
      <c r="C83" s="522" t="s">
        <v>321</v>
      </c>
      <c r="D83" s="523"/>
      <c r="E83" s="523"/>
      <c r="F83" s="523"/>
      <c r="G83" s="523"/>
      <c r="H83" s="524"/>
      <c r="I83" s="285">
        <v>40000</v>
      </c>
      <c r="J83" s="268"/>
      <c r="K83" s="286"/>
      <c r="L83" s="287"/>
      <c r="M83" s="271"/>
      <c r="N83" s="270"/>
      <c r="O83" s="270"/>
      <c r="P83" s="270"/>
      <c r="Q83" s="270"/>
      <c r="R83" s="272"/>
    </row>
    <row r="84" spans="1:19" ht="20.25" customHeight="1" x14ac:dyDescent="0.25">
      <c r="A84" s="633"/>
      <c r="B84" s="636"/>
      <c r="C84" s="284"/>
      <c r="D84" s="523" t="s">
        <v>322</v>
      </c>
      <c r="E84" s="523"/>
      <c r="F84" s="523"/>
      <c r="G84" s="523"/>
      <c r="H84" s="524"/>
      <c r="I84" s="285">
        <v>20515</v>
      </c>
      <c r="J84" s="268"/>
      <c r="K84" s="286"/>
      <c r="L84" s="287"/>
      <c r="M84" s="271"/>
      <c r="N84" s="270"/>
      <c r="O84" s="270"/>
      <c r="P84" s="270"/>
      <c r="Q84" s="270"/>
      <c r="R84" s="272"/>
    </row>
    <row r="85" spans="1:19" ht="20.25" customHeight="1" x14ac:dyDescent="0.25">
      <c r="A85" s="633"/>
      <c r="B85" s="636"/>
      <c r="C85" s="522" t="s">
        <v>323</v>
      </c>
      <c r="D85" s="523"/>
      <c r="E85" s="523"/>
      <c r="F85" s="523"/>
      <c r="G85" s="523"/>
      <c r="H85" s="524"/>
      <c r="I85" s="285">
        <v>18200</v>
      </c>
      <c r="J85" s="268"/>
      <c r="K85" s="286"/>
      <c r="L85" s="287"/>
      <c r="M85" s="271"/>
      <c r="N85" s="270"/>
      <c r="O85" s="270"/>
      <c r="P85" s="270"/>
      <c r="Q85" s="270"/>
      <c r="R85" s="272"/>
    </row>
    <row r="86" spans="1:19" ht="20.25" customHeight="1" x14ac:dyDescent="0.25">
      <c r="A86" s="633"/>
      <c r="B86" s="636"/>
      <c r="C86" s="522" t="s">
        <v>324</v>
      </c>
      <c r="D86" s="523"/>
      <c r="E86" s="523"/>
      <c r="F86" s="523"/>
      <c r="G86" s="523"/>
      <c r="H86" s="524"/>
      <c r="I86" s="285">
        <v>82712</v>
      </c>
      <c r="J86" s="268"/>
      <c r="K86" s="286"/>
      <c r="L86" s="287"/>
      <c r="M86" s="271"/>
      <c r="N86" s="270"/>
      <c r="O86" s="270"/>
      <c r="P86" s="270"/>
      <c r="Q86" s="270"/>
      <c r="R86" s="272"/>
    </row>
    <row r="87" spans="1:19" ht="20.25" customHeight="1" x14ac:dyDescent="0.25">
      <c r="A87" s="633"/>
      <c r="B87" s="636"/>
      <c r="C87" s="522" t="s">
        <v>325</v>
      </c>
      <c r="D87" s="523"/>
      <c r="E87" s="523"/>
      <c r="F87" s="523"/>
      <c r="G87" s="523"/>
      <c r="H87" s="524"/>
      <c r="I87" s="285">
        <v>89600</v>
      </c>
      <c r="J87" s="268"/>
      <c r="K87" s="286"/>
      <c r="L87" s="287"/>
      <c r="M87" s="271"/>
      <c r="N87" s="270"/>
      <c r="O87" s="270"/>
      <c r="P87" s="270"/>
      <c r="Q87" s="270"/>
      <c r="R87" s="272"/>
    </row>
    <row r="88" spans="1:19" ht="20.25" customHeight="1" x14ac:dyDescent="0.25">
      <c r="A88" s="633"/>
      <c r="B88" s="636"/>
      <c r="C88" s="522" t="s">
        <v>326</v>
      </c>
      <c r="D88" s="523"/>
      <c r="E88" s="523"/>
      <c r="F88" s="523"/>
      <c r="G88" s="523"/>
      <c r="H88" s="524"/>
      <c r="I88" s="285">
        <v>198000</v>
      </c>
      <c r="J88" s="268"/>
      <c r="K88" s="286"/>
      <c r="L88" s="287"/>
      <c r="M88" s="271"/>
      <c r="N88" s="270"/>
      <c r="O88" s="270"/>
      <c r="P88" s="270"/>
      <c r="Q88" s="270"/>
      <c r="R88" s="272"/>
    </row>
    <row r="89" spans="1:19" ht="20.25" customHeight="1" x14ac:dyDescent="0.25">
      <c r="A89" s="633"/>
      <c r="B89" s="636"/>
      <c r="C89" s="522" t="s">
        <v>327</v>
      </c>
      <c r="D89" s="523"/>
      <c r="E89" s="523"/>
      <c r="F89" s="523"/>
      <c r="G89" s="523"/>
      <c r="H89" s="524"/>
      <c r="I89" s="285">
        <v>20000</v>
      </c>
      <c r="J89" s="268"/>
      <c r="K89" s="286"/>
      <c r="L89" s="287"/>
      <c r="M89" s="271"/>
      <c r="N89" s="270"/>
      <c r="O89" s="270"/>
      <c r="P89" s="270"/>
      <c r="Q89" s="270"/>
      <c r="R89" s="272"/>
    </row>
    <row r="90" spans="1:19" ht="15.75" customHeight="1" x14ac:dyDescent="0.25">
      <c r="A90" s="633"/>
      <c r="B90" s="636"/>
      <c r="C90" s="522" t="s">
        <v>328</v>
      </c>
      <c r="D90" s="523"/>
      <c r="E90" s="523"/>
      <c r="F90" s="523"/>
      <c r="G90" s="523"/>
      <c r="H90" s="524"/>
      <c r="I90" s="285">
        <v>150000</v>
      </c>
      <c r="J90" s="268"/>
      <c r="K90" s="286"/>
      <c r="L90" s="287"/>
      <c r="M90" s="271"/>
      <c r="N90" s="270"/>
      <c r="O90" s="270"/>
      <c r="P90" s="270"/>
      <c r="Q90" s="270"/>
      <c r="R90" s="272"/>
    </row>
    <row r="91" spans="1:19" ht="15" customHeight="1" x14ac:dyDescent="0.25">
      <c r="A91" s="634"/>
      <c r="B91" s="636"/>
      <c r="C91" s="522" t="s">
        <v>179</v>
      </c>
      <c r="D91" s="523"/>
      <c r="E91" s="523"/>
      <c r="F91" s="523"/>
      <c r="G91" s="523"/>
      <c r="H91" s="524"/>
      <c r="I91" s="285">
        <v>178750</v>
      </c>
      <c r="J91" s="268"/>
      <c r="K91" s="288"/>
      <c r="L91" s="289"/>
      <c r="M91" s="271"/>
      <c r="N91" s="270"/>
      <c r="O91" s="270"/>
      <c r="P91" s="270"/>
      <c r="Q91" s="270"/>
      <c r="R91" s="272"/>
    </row>
    <row r="92" spans="1:19" x14ac:dyDescent="0.25">
      <c r="A92" s="366"/>
      <c r="B92" s="525" t="s">
        <v>329</v>
      </c>
      <c r="C92" s="526"/>
      <c r="D92" s="526"/>
      <c r="E92" s="526"/>
      <c r="F92" s="526"/>
      <c r="G92" s="526"/>
      <c r="H92" s="527"/>
      <c r="I92" s="41">
        <f>SUM(I67:I91)</f>
        <v>1035277</v>
      </c>
      <c r="J92" s="41">
        <f>SUM(J67:J81)</f>
        <v>950000</v>
      </c>
      <c r="K92" s="213" t="s">
        <v>330</v>
      </c>
      <c r="L92" s="224">
        <f>SUM(L67:L91)</f>
        <v>95000</v>
      </c>
      <c r="M92" s="224">
        <f t="shared" ref="M92:R92" si="5">SUM(M67:M91)</f>
        <v>0</v>
      </c>
      <c r="N92" s="195">
        <f t="shared" si="5"/>
        <v>36750</v>
      </c>
      <c r="O92" s="195">
        <f t="shared" si="5"/>
        <v>174100</v>
      </c>
      <c r="P92" s="195">
        <f t="shared" si="5"/>
        <v>249150</v>
      </c>
      <c r="Q92" s="216">
        <f t="shared" si="5"/>
        <v>225000</v>
      </c>
      <c r="R92" s="261">
        <f t="shared" si="5"/>
        <v>170000</v>
      </c>
      <c r="S92" s="260"/>
    </row>
    <row r="93" spans="1:19" ht="14.45" customHeight="1" x14ac:dyDescent="0.25">
      <c r="A93" s="614">
        <v>5</v>
      </c>
      <c r="B93" s="616" t="s">
        <v>182</v>
      </c>
      <c r="C93" s="624">
        <v>5.0999999999999996</v>
      </c>
      <c r="D93" s="581" t="s">
        <v>331</v>
      </c>
      <c r="E93" s="239">
        <v>1</v>
      </c>
      <c r="F93" s="240" t="s">
        <v>66</v>
      </c>
      <c r="G93" s="241" t="s">
        <v>184</v>
      </c>
      <c r="H93" s="242" t="s">
        <v>332</v>
      </c>
      <c r="I93" s="243"/>
      <c r="J93" s="244">
        <v>30000</v>
      </c>
      <c r="K93" s="245" t="s">
        <v>21</v>
      </c>
      <c r="L93" s="246"/>
      <c r="M93" s="247">
        <f>J93</f>
        <v>30000</v>
      </c>
      <c r="N93" s="246"/>
      <c r="O93" s="246"/>
      <c r="P93" s="246"/>
      <c r="Q93" s="246"/>
      <c r="R93" s="248"/>
    </row>
    <row r="94" spans="1:19" ht="30" x14ac:dyDescent="0.25">
      <c r="A94" s="615"/>
      <c r="B94" s="617"/>
      <c r="C94" s="625"/>
      <c r="D94" s="582"/>
      <c r="E94" s="239">
        <v>1</v>
      </c>
      <c r="F94" s="240" t="s">
        <v>66</v>
      </c>
      <c r="G94" s="241" t="s">
        <v>184</v>
      </c>
      <c r="H94" s="249" t="s">
        <v>333</v>
      </c>
      <c r="I94" s="243"/>
      <c r="J94" s="244">
        <v>30000</v>
      </c>
      <c r="K94" s="245" t="s">
        <v>21</v>
      </c>
      <c r="L94" s="246"/>
      <c r="M94" s="247">
        <f>J94</f>
        <v>30000</v>
      </c>
      <c r="N94" s="246"/>
      <c r="O94" s="246"/>
      <c r="P94" s="246"/>
      <c r="Q94" s="246"/>
      <c r="R94" s="248"/>
    </row>
    <row r="95" spans="1:19" ht="180" x14ac:dyDescent="0.25">
      <c r="A95" s="615"/>
      <c r="B95" s="617"/>
      <c r="C95" s="625"/>
      <c r="D95" s="582"/>
      <c r="E95" s="239">
        <v>1</v>
      </c>
      <c r="F95" s="240" t="s">
        <v>66</v>
      </c>
      <c r="G95" s="241" t="s">
        <v>184</v>
      </c>
      <c r="H95" s="250" t="s">
        <v>334</v>
      </c>
      <c r="I95" s="243"/>
      <c r="J95" s="379">
        <v>200000</v>
      </c>
      <c r="K95" s="245" t="s">
        <v>21</v>
      </c>
      <c r="L95" s="246"/>
      <c r="M95" s="247">
        <f>J95</f>
        <v>200000</v>
      </c>
      <c r="N95" s="246"/>
      <c r="O95" s="246"/>
      <c r="P95" s="246"/>
      <c r="Q95" s="246"/>
      <c r="R95" s="248"/>
    </row>
    <row r="96" spans="1:19" ht="45" x14ac:dyDescent="0.25">
      <c r="A96" s="615"/>
      <c r="B96" s="617"/>
      <c r="C96" s="625"/>
      <c r="D96" s="582"/>
      <c r="E96" s="239">
        <v>1</v>
      </c>
      <c r="F96" s="240" t="s">
        <v>66</v>
      </c>
      <c r="G96" s="241" t="s">
        <v>184</v>
      </c>
      <c r="H96" s="251" t="s">
        <v>335</v>
      </c>
      <c r="I96" s="243"/>
      <c r="J96" s="379">
        <v>97000</v>
      </c>
      <c r="K96" s="245" t="s">
        <v>28</v>
      </c>
      <c r="L96" s="246"/>
      <c r="M96" s="247"/>
      <c r="N96" s="246">
        <f>J96</f>
        <v>97000</v>
      </c>
      <c r="O96" s="246"/>
      <c r="P96" s="246"/>
      <c r="Q96" s="246"/>
      <c r="R96" s="248"/>
    </row>
    <row r="97" spans="1:19" ht="45" x14ac:dyDescent="0.25">
      <c r="A97" s="615"/>
      <c r="B97" s="617"/>
      <c r="C97" s="625"/>
      <c r="D97" s="582"/>
      <c r="E97" s="239">
        <v>1</v>
      </c>
      <c r="F97" s="240" t="s">
        <v>66</v>
      </c>
      <c r="G97" s="241" t="s">
        <v>184</v>
      </c>
      <c r="H97" s="251" t="s">
        <v>336</v>
      </c>
      <c r="I97" s="243"/>
      <c r="J97" s="379">
        <v>101500</v>
      </c>
      <c r="K97" s="245" t="s">
        <v>312</v>
      </c>
      <c r="L97" s="246">
        <f>J97</f>
        <v>101500</v>
      </c>
      <c r="M97" s="247"/>
      <c r="N97" s="246"/>
      <c r="O97" s="246"/>
      <c r="P97" s="246"/>
      <c r="Q97" s="246"/>
      <c r="R97" s="248"/>
    </row>
    <row r="98" spans="1:19" x14ac:dyDescent="0.25">
      <c r="A98" s="615"/>
      <c r="B98" s="617"/>
      <c r="C98" s="626"/>
      <c r="D98" s="583"/>
      <c r="E98" s="239">
        <v>1</v>
      </c>
      <c r="F98" s="240" t="s">
        <v>66</v>
      </c>
      <c r="G98" s="241" t="s">
        <v>184</v>
      </c>
      <c r="H98" s="251" t="s">
        <v>337</v>
      </c>
      <c r="I98" s="243"/>
      <c r="J98" s="379">
        <v>50000</v>
      </c>
      <c r="K98" s="245" t="s">
        <v>28</v>
      </c>
      <c r="L98" s="246"/>
      <c r="M98" s="247"/>
      <c r="N98" s="246">
        <v>50000</v>
      </c>
      <c r="O98" s="246"/>
      <c r="P98" s="246"/>
      <c r="Q98" s="246"/>
      <c r="R98" s="248"/>
    </row>
    <row r="99" spans="1:19" ht="30" customHeight="1" x14ac:dyDescent="0.25">
      <c r="A99" s="615"/>
      <c r="B99" s="617"/>
      <c r="C99" s="240">
        <v>5.2</v>
      </c>
      <c r="D99" s="252" t="s">
        <v>161</v>
      </c>
      <c r="E99" s="239">
        <v>2</v>
      </c>
      <c r="F99" s="240" t="s">
        <v>31</v>
      </c>
      <c r="G99" s="241"/>
      <c r="H99" s="251" t="s">
        <v>338</v>
      </c>
      <c r="I99" s="243"/>
      <c r="J99" s="244">
        <v>40000</v>
      </c>
      <c r="K99" s="245" t="s">
        <v>33</v>
      </c>
      <c r="L99" s="246"/>
      <c r="M99" s="247"/>
      <c r="N99" s="246"/>
      <c r="O99" s="246">
        <v>40000</v>
      </c>
      <c r="P99" s="246"/>
      <c r="Q99" s="246"/>
      <c r="R99" s="248"/>
    </row>
    <row r="100" spans="1:19" ht="45" x14ac:dyDescent="0.25">
      <c r="A100" s="615"/>
      <c r="B100" s="618"/>
      <c r="C100" s="240">
        <v>5.3</v>
      </c>
      <c r="D100" s="253" t="s">
        <v>191</v>
      </c>
      <c r="E100" s="239">
        <v>2</v>
      </c>
      <c r="F100" s="240" t="s">
        <v>31</v>
      </c>
      <c r="G100" s="241" t="s">
        <v>74</v>
      </c>
      <c r="H100" s="251" t="s">
        <v>339</v>
      </c>
      <c r="I100" s="243"/>
      <c r="J100" s="244">
        <f>500000-33500</f>
        <v>466500</v>
      </c>
      <c r="K100" s="245" t="s">
        <v>95</v>
      </c>
      <c r="L100" s="246"/>
      <c r="M100" s="247"/>
      <c r="N100" s="246"/>
      <c r="O100" s="246"/>
      <c r="P100" s="246"/>
      <c r="Q100" s="246">
        <v>200000</v>
      </c>
      <c r="R100" s="248">
        <f>J100-L100-Q100</f>
        <v>266500</v>
      </c>
    </row>
    <row r="101" spans="1:19" ht="15" customHeight="1" x14ac:dyDescent="0.25">
      <c r="A101" s="615"/>
      <c r="B101" s="619" t="s">
        <v>340</v>
      </c>
      <c r="C101" s="611" t="s">
        <v>194</v>
      </c>
      <c r="D101" s="612"/>
      <c r="E101" s="612"/>
      <c r="F101" s="612"/>
      <c r="G101" s="612"/>
      <c r="H101" s="613"/>
      <c r="I101" s="243">
        <v>250000</v>
      </c>
      <c r="J101" s="244"/>
      <c r="K101" s="256"/>
      <c r="L101" s="257"/>
      <c r="M101" s="247"/>
      <c r="N101" s="246"/>
      <c r="O101" s="246"/>
      <c r="P101" s="246"/>
      <c r="Q101" s="246"/>
      <c r="R101" s="248"/>
    </row>
    <row r="102" spans="1:19" ht="15" customHeight="1" x14ac:dyDescent="0.25">
      <c r="A102" s="615"/>
      <c r="B102" s="620"/>
      <c r="C102" s="611" t="s">
        <v>341</v>
      </c>
      <c r="D102" s="612"/>
      <c r="E102" s="612"/>
      <c r="F102" s="612"/>
      <c r="G102" s="612"/>
      <c r="H102" s="613"/>
      <c r="I102" s="243">
        <v>192387</v>
      </c>
      <c r="J102" s="244"/>
      <c r="K102" s="258"/>
      <c r="L102" s="259"/>
      <c r="M102" s="247"/>
      <c r="N102" s="246"/>
      <c r="O102" s="246"/>
      <c r="P102" s="246"/>
      <c r="Q102" s="246"/>
      <c r="R102" s="248"/>
    </row>
    <row r="103" spans="1:19" ht="15" customHeight="1" x14ac:dyDescent="0.25">
      <c r="A103" s="615"/>
      <c r="B103" s="620"/>
      <c r="C103" s="611" t="s">
        <v>342</v>
      </c>
      <c r="D103" s="612"/>
      <c r="E103" s="612"/>
      <c r="F103" s="612"/>
      <c r="G103" s="612"/>
      <c r="H103" s="613"/>
      <c r="I103" s="243">
        <v>140000</v>
      </c>
      <c r="J103" s="244"/>
      <c r="K103" s="258"/>
      <c r="L103" s="259"/>
      <c r="M103" s="247"/>
      <c r="N103" s="246"/>
      <c r="O103" s="246"/>
      <c r="P103" s="246"/>
      <c r="Q103" s="246"/>
      <c r="R103" s="248"/>
    </row>
    <row r="104" spans="1:19" ht="15" customHeight="1" x14ac:dyDescent="0.25">
      <c r="A104" s="615"/>
      <c r="B104" s="620"/>
      <c r="C104" s="254"/>
      <c r="D104" s="255"/>
      <c r="E104" s="612" t="s">
        <v>343</v>
      </c>
      <c r="F104" s="612"/>
      <c r="G104" s="612"/>
      <c r="H104" s="613"/>
      <c r="I104" s="243">
        <v>261666</v>
      </c>
      <c r="J104" s="244"/>
      <c r="K104" s="258"/>
      <c r="L104" s="259"/>
      <c r="M104" s="247"/>
      <c r="N104" s="246"/>
      <c r="O104" s="246"/>
      <c r="P104" s="246"/>
      <c r="Q104" s="246"/>
      <c r="R104" s="248"/>
    </row>
    <row r="105" spans="1:19" ht="15" customHeight="1" x14ac:dyDescent="0.25">
      <c r="A105" s="615"/>
      <c r="B105" s="620"/>
      <c r="C105" s="611" t="s">
        <v>195</v>
      </c>
      <c r="D105" s="612"/>
      <c r="E105" s="612"/>
      <c r="F105" s="612"/>
      <c r="G105" s="612"/>
      <c r="H105" s="613"/>
      <c r="I105" s="243">
        <v>125271</v>
      </c>
      <c r="J105" s="244"/>
      <c r="K105" s="258"/>
      <c r="L105" s="259"/>
      <c r="M105" s="247"/>
      <c r="N105" s="246"/>
      <c r="O105" s="246"/>
      <c r="P105" s="246"/>
      <c r="Q105" s="246"/>
      <c r="R105" s="248"/>
    </row>
    <row r="106" spans="1:19" ht="15" customHeight="1" x14ac:dyDescent="0.25">
      <c r="A106" s="615"/>
      <c r="B106" s="620"/>
      <c r="C106" s="611" t="s">
        <v>344</v>
      </c>
      <c r="D106" s="612"/>
      <c r="E106" s="612"/>
      <c r="F106" s="612"/>
      <c r="G106" s="612"/>
      <c r="H106" s="613"/>
      <c r="I106" s="243">
        <v>65000</v>
      </c>
      <c r="J106" s="244"/>
      <c r="K106" s="258"/>
      <c r="L106" s="259"/>
      <c r="M106" s="247"/>
      <c r="N106" s="246"/>
      <c r="O106" s="246"/>
      <c r="P106" s="246"/>
      <c r="Q106" s="246"/>
      <c r="R106" s="248"/>
    </row>
    <row r="107" spans="1:19" ht="15" customHeight="1" x14ac:dyDescent="0.25">
      <c r="A107" s="615"/>
      <c r="B107" s="620"/>
      <c r="C107" s="611" t="s">
        <v>345</v>
      </c>
      <c r="D107" s="612"/>
      <c r="E107" s="612"/>
      <c r="F107" s="612"/>
      <c r="G107" s="612"/>
      <c r="H107" s="613"/>
      <c r="I107" s="243">
        <v>40000</v>
      </c>
      <c r="J107" s="244"/>
      <c r="K107" s="258"/>
      <c r="L107" s="259"/>
      <c r="M107" s="247"/>
      <c r="N107" s="246"/>
      <c r="O107" s="246"/>
      <c r="P107" s="246"/>
      <c r="Q107" s="246"/>
      <c r="R107" s="248"/>
    </row>
    <row r="108" spans="1:19" ht="15" customHeight="1" x14ac:dyDescent="0.25">
      <c r="A108" s="615"/>
      <c r="B108" s="620"/>
      <c r="C108" s="611" t="s">
        <v>346</v>
      </c>
      <c r="D108" s="612"/>
      <c r="E108" s="612"/>
      <c r="F108" s="612"/>
      <c r="G108" s="612"/>
      <c r="H108" s="613"/>
      <c r="I108" s="243">
        <v>383061</v>
      </c>
      <c r="J108" s="244"/>
      <c r="K108" s="258"/>
      <c r="L108" s="259"/>
      <c r="M108" s="247"/>
      <c r="N108" s="246"/>
      <c r="O108" s="246"/>
      <c r="P108" s="246"/>
      <c r="Q108" s="246"/>
      <c r="R108" s="248"/>
    </row>
    <row r="109" spans="1:19" ht="15" customHeight="1" x14ac:dyDescent="0.25">
      <c r="A109" s="615"/>
      <c r="B109" s="620"/>
      <c r="C109" s="254"/>
      <c r="D109" s="612" t="s">
        <v>347</v>
      </c>
      <c r="E109" s="612"/>
      <c r="F109" s="612"/>
      <c r="G109" s="612"/>
      <c r="H109" s="613"/>
      <c r="I109" s="243">
        <v>108939</v>
      </c>
      <c r="J109" s="244"/>
      <c r="K109" s="258"/>
      <c r="L109" s="259"/>
      <c r="M109" s="247"/>
      <c r="N109" s="246"/>
      <c r="O109" s="246"/>
      <c r="P109" s="246"/>
      <c r="Q109" s="246"/>
      <c r="R109" s="248"/>
    </row>
    <row r="110" spans="1:19" ht="15" customHeight="1" x14ac:dyDescent="0.25">
      <c r="A110" s="615"/>
      <c r="B110" s="620"/>
      <c r="C110" s="611" t="s">
        <v>348</v>
      </c>
      <c r="D110" s="612"/>
      <c r="E110" s="612"/>
      <c r="F110" s="612"/>
      <c r="G110" s="612"/>
      <c r="H110" s="613"/>
      <c r="I110" s="243">
        <v>30503</v>
      </c>
      <c r="J110" s="244"/>
      <c r="K110" s="258"/>
      <c r="L110" s="259"/>
      <c r="M110" s="247"/>
      <c r="N110" s="246"/>
      <c r="O110" s="246"/>
      <c r="P110" s="246"/>
      <c r="Q110" s="246"/>
      <c r="R110" s="248"/>
    </row>
    <row r="111" spans="1:19" x14ac:dyDescent="0.25">
      <c r="A111" s="367"/>
      <c r="B111" s="605" t="s">
        <v>349</v>
      </c>
      <c r="C111" s="606"/>
      <c r="D111" s="606"/>
      <c r="E111" s="606"/>
      <c r="F111" s="606"/>
      <c r="G111" s="606"/>
      <c r="H111" s="607"/>
      <c r="I111" s="230">
        <f>SUM(I93:I110)</f>
        <v>1596827</v>
      </c>
      <c r="J111" s="230">
        <f>SUM(J93:J110)</f>
        <v>1015000</v>
      </c>
      <c r="K111" s="256" t="s">
        <v>350</v>
      </c>
      <c r="L111" s="246">
        <f t="shared" ref="L111:R111" si="6">SUM(L93:L110)</f>
        <v>101500</v>
      </c>
      <c r="M111" s="247">
        <f t="shared" si="6"/>
        <v>260000</v>
      </c>
      <c r="N111" s="247">
        <f t="shared" si="6"/>
        <v>147000</v>
      </c>
      <c r="O111" s="247">
        <f t="shared" si="6"/>
        <v>40000</v>
      </c>
      <c r="P111" s="246">
        <f t="shared" si="6"/>
        <v>0</v>
      </c>
      <c r="Q111" s="246">
        <f t="shared" si="6"/>
        <v>200000</v>
      </c>
      <c r="R111" s="248">
        <f t="shared" si="6"/>
        <v>266500</v>
      </c>
      <c r="S111" s="237"/>
    </row>
    <row r="112" spans="1:19" x14ac:dyDescent="0.25">
      <c r="A112" s="368"/>
      <c r="B112" s="61"/>
      <c r="C112" s="62"/>
      <c r="D112" s="61"/>
      <c r="E112" s="63"/>
      <c r="F112" s="62"/>
      <c r="G112" s="62"/>
      <c r="H112" s="62"/>
      <c r="I112" s="104"/>
      <c r="J112" s="50"/>
      <c r="K112" s="214"/>
      <c r="L112" s="104"/>
      <c r="M112" s="65"/>
      <c r="N112" s="65"/>
      <c r="O112" s="65"/>
      <c r="P112" s="65"/>
      <c r="Q112" s="65"/>
      <c r="R112" s="139"/>
      <c r="S112" s="49"/>
    </row>
    <row r="113" spans="1:18" ht="35.25" customHeight="1" thickBot="1" x14ac:dyDescent="0.3">
      <c r="A113" s="608" t="s">
        <v>202</v>
      </c>
      <c r="B113" s="609"/>
      <c r="C113" s="609"/>
      <c r="D113" s="609"/>
      <c r="E113" s="609"/>
      <c r="F113" s="609"/>
      <c r="G113" s="609"/>
      <c r="H113" s="610"/>
      <c r="I113" s="201">
        <f>I111+I92+I66+I39+I17</f>
        <v>5436735.9100000001</v>
      </c>
      <c r="J113" s="369">
        <f>J111+J92+J66+J39+J17</f>
        <v>3865000</v>
      </c>
      <c r="K113" s="235" t="s">
        <v>351</v>
      </c>
      <c r="L113" s="201">
        <f t="shared" ref="L113:R113" si="7">L111+L92+L66+L39+L17</f>
        <v>388767</v>
      </c>
      <c r="M113" s="236">
        <f t="shared" si="7"/>
        <v>452000</v>
      </c>
      <c r="N113" s="201">
        <f>N111+N92+N66+N39+N17</f>
        <v>337550</v>
      </c>
      <c r="O113" s="201">
        <f t="shared" si="7"/>
        <v>551723</v>
      </c>
      <c r="P113" s="201">
        <f t="shared" si="7"/>
        <v>553496</v>
      </c>
      <c r="Q113" s="201">
        <f t="shared" si="7"/>
        <v>642000</v>
      </c>
      <c r="R113" s="238">
        <f t="shared" si="7"/>
        <v>939464</v>
      </c>
    </row>
    <row r="114" spans="1:18" x14ac:dyDescent="0.25">
      <c r="B114" s="1"/>
      <c r="C114" s="3"/>
      <c r="D114" s="1"/>
      <c r="H114" s="372" t="s">
        <v>352</v>
      </c>
      <c r="I114" s="373">
        <v>3865000</v>
      </c>
      <c r="J114" s="373">
        <v>3865000</v>
      </c>
      <c r="L114" s="373">
        <v>386500</v>
      </c>
      <c r="M114" s="374">
        <v>452000</v>
      </c>
      <c r="N114" s="374">
        <v>337550</v>
      </c>
      <c r="O114" s="374">
        <v>551723</v>
      </c>
      <c r="P114" s="374">
        <v>573496</v>
      </c>
      <c r="Q114" s="374">
        <v>642000</v>
      </c>
      <c r="R114" s="374">
        <v>921731</v>
      </c>
    </row>
    <row r="115" spans="1:18" x14ac:dyDescent="0.25">
      <c r="B115" s="1"/>
      <c r="C115" s="3"/>
      <c r="D115" s="1"/>
      <c r="H115" s="375" t="s">
        <v>353</v>
      </c>
      <c r="I115" s="377">
        <f>I113-I114</f>
        <v>1571735.9100000001</v>
      </c>
      <c r="J115" s="376">
        <f>J113-J114</f>
        <v>0</v>
      </c>
      <c r="L115" s="381">
        <f>L113-L114</f>
        <v>2267</v>
      </c>
      <c r="M115" s="373">
        <f t="shared" ref="M115:R115" si="8">M113-M114</f>
        <v>0</v>
      </c>
      <c r="N115" s="378">
        <f t="shared" si="8"/>
        <v>0</v>
      </c>
      <c r="O115" s="373">
        <f t="shared" si="8"/>
        <v>0</v>
      </c>
      <c r="P115" s="373">
        <f t="shared" si="8"/>
        <v>-20000</v>
      </c>
      <c r="Q115" s="373">
        <f t="shared" si="8"/>
        <v>0</v>
      </c>
      <c r="R115" s="387">
        <f t="shared" si="8"/>
        <v>17733</v>
      </c>
    </row>
    <row r="116" spans="1:18" x14ac:dyDescent="0.25">
      <c r="B116" s="1"/>
      <c r="C116" s="3"/>
      <c r="D116" s="1"/>
    </row>
    <row r="117" spans="1:18" x14ac:dyDescent="0.25">
      <c r="B117" s="1"/>
      <c r="C117" s="3"/>
      <c r="D117" s="1"/>
      <c r="K117" s="380">
        <f>1015000-J111</f>
        <v>0</v>
      </c>
    </row>
    <row r="118" spans="1:18" x14ac:dyDescent="0.25">
      <c r="B118" s="1"/>
      <c r="C118" s="3"/>
      <c r="D118" s="1"/>
    </row>
    <row r="119" spans="1:18" x14ac:dyDescent="0.25">
      <c r="B119" s="1"/>
      <c r="C119" s="3"/>
      <c r="D119" s="1"/>
      <c r="F119" s="3">
        <f>J111*2</f>
        <v>2030000</v>
      </c>
    </row>
    <row r="120" spans="1:18" x14ac:dyDescent="0.25">
      <c r="B120" s="1"/>
      <c r="C120" s="3"/>
      <c r="D120" s="1"/>
    </row>
    <row r="121" spans="1:18" x14ac:dyDescent="0.25">
      <c r="B121" s="1"/>
      <c r="C121" s="3"/>
      <c r="D121" s="1"/>
    </row>
    <row r="122" spans="1:18" x14ac:dyDescent="0.25">
      <c r="B122" s="1"/>
      <c r="C122" s="3"/>
      <c r="D122" s="1"/>
    </row>
    <row r="123" spans="1:18" x14ac:dyDescent="0.25">
      <c r="B123" s="1"/>
      <c r="C123" s="3"/>
      <c r="D123" s="1"/>
    </row>
    <row r="124" spans="1:18" x14ac:dyDescent="0.25">
      <c r="B124" s="1"/>
      <c r="C124" s="3"/>
      <c r="D124" s="1"/>
    </row>
    <row r="125" spans="1:18" x14ac:dyDescent="0.25">
      <c r="B125" s="1"/>
      <c r="C125" s="3"/>
      <c r="D125" s="1"/>
    </row>
    <row r="126" spans="1:18" x14ac:dyDescent="0.25">
      <c r="B126" s="1"/>
      <c r="C126" s="3"/>
      <c r="D126" s="1"/>
    </row>
    <row r="127" spans="1:18" x14ac:dyDescent="0.25">
      <c r="B127" s="1"/>
      <c r="C127" s="3"/>
      <c r="D127" s="1"/>
    </row>
    <row r="128" spans="1:18" x14ac:dyDescent="0.25">
      <c r="B128" s="1"/>
      <c r="C128" s="3"/>
      <c r="D128" s="1"/>
    </row>
    <row r="129" spans="2:4" x14ac:dyDescent="0.25">
      <c r="B129" s="1"/>
      <c r="C129" s="3"/>
      <c r="D129" s="1"/>
    </row>
    <row r="130" spans="2:4" x14ac:dyDescent="0.25">
      <c r="B130" s="1"/>
      <c r="C130" s="3"/>
      <c r="D130" s="1"/>
    </row>
  </sheetData>
  <mergeCells count="81">
    <mergeCell ref="C102:H102"/>
    <mergeCell ref="C55:H55"/>
    <mergeCell ref="C56:H56"/>
    <mergeCell ref="C65:H65"/>
    <mergeCell ref="C62:H62"/>
    <mergeCell ref="B92:H92"/>
    <mergeCell ref="C82:H82"/>
    <mergeCell ref="C91:H91"/>
    <mergeCell ref="C68:C71"/>
    <mergeCell ref="C83:H83"/>
    <mergeCell ref="C90:H90"/>
    <mergeCell ref="D84:H84"/>
    <mergeCell ref="C86:H86"/>
    <mergeCell ref="C87:H87"/>
    <mergeCell ref="C88:H88"/>
    <mergeCell ref="C85:H85"/>
    <mergeCell ref="D46:D48"/>
    <mergeCell ref="C64:H64"/>
    <mergeCell ref="C46:C48"/>
    <mergeCell ref="C60:H60"/>
    <mergeCell ref="C58:H58"/>
    <mergeCell ref="C57:H57"/>
    <mergeCell ref="A113:H113"/>
    <mergeCell ref="C106:H106"/>
    <mergeCell ref="C107:H107"/>
    <mergeCell ref="C108:H108"/>
    <mergeCell ref="B111:H111"/>
    <mergeCell ref="A93:A110"/>
    <mergeCell ref="B93:B100"/>
    <mergeCell ref="B101:B110"/>
    <mergeCell ref="D109:H109"/>
    <mergeCell ref="C93:C98"/>
    <mergeCell ref="C110:H110"/>
    <mergeCell ref="E104:H104"/>
    <mergeCell ref="D93:D98"/>
    <mergeCell ref="C101:H101"/>
    <mergeCell ref="C105:H105"/>
    <mergeCell ref="C103:H103"/>
    <mergeCell ref="A67:A91"/>
    <mergeCell ref="B67:B80"/>
    <mergeCell ref="B82:B91"/>
    <mergeCell ref="A40:A65"/>
    <mergeCell ref="B40:B54"/>
    <mergeCell ref="B55:B65"/>
    <mergeCell ref="B39:H39"/>
    <mergeCell ref="D19:D21"/>
    <mergeCell ref="C14:H14"/>
    <mergeCell ref="D7:D9"/>
    <mergeCell ref="C7:C9"/>
    <mergeCell ref="C19:C21"/>
    <mergeCell ref="D22:D23"/>
    <mergeCell ref="C22:C23"/>
    <mergeCell ref="B17:H17"/>
    <mergeCell ref="C15:H15"/>
    <mergeCell ref="C16:H16"/>
    <mergeCell ref="B33:B38"/>
    <mergeCell ref="C33:H33"/>
    <mergeCell ref="D25:D26"/>
    <mergeCell ref="C25:C26"/>
    <mergeCell ref="D28:D29"/>
    <mergeCell ref="C89:H89"/>
    <mergeCell ref="C5:C6"/>
    <mergeCell ref="A3:A16"/>
    <mergeCell ref="B3:B11"/>
    <mergeCell ref="B12:B16"/>
    <mergeCell ref="C12:H12"/>
    <mergeCell ref="D13:H13"/>
    <mergeCell ref="D3:D4"/>
    <mergeCell ref="C3:C4"/>
    <mergeCell ref="D5:D6"/>
    <mergeCell ref="D42:D44"/>
    <mergeCell ref="C42:C44"/>
    <mergeCell ref="B66:H66"/>
    <mergeCell ref="D68:D71"/>
    <mergeCell ref="A18:A38"/>
    <mergeCell ref="B18:B32"/>
    <mergeCell ref="C28:C29"/>
    <mergeCell ref="C37:H37"/>
    <mergeCell ref="C38:H38"/>
    <mergeCell ref="C35:H35"/>
    <mergeCell ref="C36:H36"/>
  </mergeCells>
  <phoneticPr fontId="2"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A6EC-6ABE-47D0-96A0-A83A4282CC05}">
  <dimension ref="A1:AH145"/>
  <sheetViews>
    <sheetView tabSelected="1" zoomScale="73" zoomScaleNormal="73" workbookViewId="0">
      <pane xSplit="11" ySplit="2" topLeftCell="L3" activePane="bottomRight" state="frozen"/>
      <selection pane="topRight" activeCell="H1" sqref="H1"/>
      <selection pane="bottomLeft" activeCell="A3" sqref="A3"/>
      <selection pane="bottomRight" activeCell="G62" sqref="G62"/>
    </sheetView>
  </sheetViews>
  <sheetFormatPr defaultColWidth="8.85546875" defaultRowHeight="15" x14ac:dyDescent="0.25"/>
  <cols>
    <col min="1" max="1" width="5.7109375" style="2" customWidth="1"/>
    <col min="2" max="2" width="21.42578125" customWidth="1"/>
    <col min="3" max="3" width="5.42578125" style="2" customWidth="1"/>
    <col min="4" max="4" width="48.140625" customWidth="1"/>
    <col min="5" max="5" width="6.7109375" style="2" customWidth="1"/>
    <col min="6" max="6" width="13.42578125" style="3" customWidth="1"/>
    <col min="7" max="7" width="15.42578125" style="3" bestFit="1" customWidth="1"/>
    <col min="8" max="8" width="41.85546875" style="3" customWidth="1"/>
    <col min="9" max="9" width="14.85546875" style="3" customWidth="1"/>
    <col min="10" max="10" width="15.7109375" style="3" customWidth="1"/>
    <col min="11" max="11" width="14.42578125" style="3" customWidth="1"/>
    <col min="12" max="12" width="16.28515625" style="3" customWidth="1"/>
    <col min="13" max="13" width="11.7109375" style="3" bestFit="1" customWidth="1"/>
    <col min="14" max="20" width="12" style="3" customWidth="1"/>
    <col min="21" max="22" width="16.28515625" customWidth="1"/>
    <col min="23" max="23" width="13.42578125" customWidth="1"/>
  </cols>
  <sheetData>
    <row r="1" spans="1:34" ht="15.75" thickBot="1" x14ac:dyDescent="0.3">
      <c r="M1" s="227">
        <v>45444</v>
      </c>
      <c r="N1" s="227">
        <v>45505</v>
      </c>
      <c r="O1" s="227">
        <v>45658</v>
      </c>
      <c r="P1" s="227">
        <v>45748</v>
      </c>
      <c r="Q1" s="227">
        <v>45989</v>
      </c>
      <c r="R1" s="227">
        <v>46054</v>
      </c>
      <c r="S1" s="227">
        <v>46143</v>
      </c>
      <c r="T1" s="227">
        <v>46266</v>
      </c>
    </row>
    <row r="2" spans="1:34" s="84" customFormat="1" ht="45" x14ac:dyDescent="0.25">
      <c r="A2" s="359" t="s">
        <v>0</v>
      </c>
      <c r="B2" s="360" t="s">
        <v>1</v>
      </c>
      <c r="C2" s="361" t="s">
        <v>0</v>
      </c>
      <c r="D2" s="360" t="s">
        <v>2</v>
      </c>
      <c r="E2" s="361" t="s">
        <v>3</v>
      </c>
      <c r="F2" s="362" t="s">
        <v>4</v>
      </c>
      <c r="G2" s="225" t="s">
        <v>5</v>
      </c>
      <c r="H2" s="225" t="s">
        <v>6</v>
      </c>
      <c r="I2" s="225" t="s">
        <v>354</v>
      </c>
      <c r="J2" s="225" t="s">
        <v>355</v>
      </c>
      <c r="K2" s="225" t="s">
        <v>8</v>
      </c>
      <c r="L2" s="202" t="s">
        <v>9</v>
      </c>
      <c r="M2" s="225" t="s">
        <v>356</v>
      </c>
      <c r="N2" s="203" t="s">
        <v>357</v>
      </c>
      <c r="O2" s="203" t="s">
        <v>358</v>
      </c>
      <c r="P2" s="392" t="s">
        <v>359</v>
      </c>
      <c r="Q2" s="203" t="s">
        <v>360</v>
      </c>
      <c r="R2" s="203" t="s">
        <v>361</v>
      </c>
      <c r="S2" s="203" t="s">
        <v>362</v>
      </c>
      <c r="T2" s="204" t="s">
        <v>363</v>
      </c>
      <c r="U2" s="391" t="s">
        <v>364</v>
      </c>
      <c r="V2" s="391" t="s">
        <v>365</v>
      </c>
      <c r="W2" s="83" t="s">
        <v>366</v>
      </c>
      <c r="X2" s="83"/>
      <c r="Y2" s="83"/>
      <c r="Z2" s="83"/>
      <c r="AA2" s="83"/>
      <c r="AB2" s="83"/>
      <c r="AC2" s="83"/>
      <c r="AD2" s="83"/>
      <c r="AE2" s="83"/>
      <c r="AF2" s="83"/>
      <c r="AG2" s="83"/>
      <c r="AH2" s="83"/>
    </row>
    <row r="3" spans="1:34" ht="30" customHeight="1" x14ac:dyDescent="0.25">
      <c r="A3" s="528">
        <v>1</v>
      </c>
      <c r="B3" s="531" t="s">
        <v>16</v>
      </c>
      <c r="C3" s="532">
        <v>1.1000000000000001</v>
      </c>
      <c r="D3" s="534" t="s">
        <v>17</v>
      </c>
      <c r="E3" s="350">
        <v>1</v>
      </c>
      <c r="F3" s="351" t="s">
        <v>18</v>
      </c>
      <c r="G3" s="352" t="s">
        <v>19</v>
      </c>
      <c r="H3" s="155" t="s">
        <v>205</v>
      </c>
      <c r="I3" s="155"/>
      <c r="J3" s="229"/>
      <c r="K3" s="157">
        <v>16000</v>
      </c>
      <c r="L3" s="205" t="s">
        <v>21</v>
      </c>
      <c r="M3" s="193"/>
      <c r="N3" s="219">
        <f>K3</f>
        <v>16000</v>
      </c>
      <c r="O3" s="193"/>
      <c r="P3" s="193"/>
      <c r="Q3" s="193"/>
      <c r="R3" s="193"/>
      <c r="S3" s="193"/>
      <c r="T3" s="206"/>
      <c r="U3" s="437"/>
      <c r="V3" s="437">
        <v>16000</v>
      </c>
    </row>
    <row r="4" spans="1:34" ht="30" x14ac:dyDescent="0.25">
      <c r="A4" s="529"/>
      <c r="B4" s="531"/>
      <c r="C4" s="533"/>
      <c r="D4" s="535"/>
      <c r="E4" s="350">
        <v>1</v>
      </c>
      <c r="F4" s="351" t="s">
        <v>18</v>
      </c>
      <c r="G4" s="352" t="s">
        <v>19</v>
      </c>
      <c r="H4" s="355" t="s">
        <v>206</v>
      </c>
      <c r="I4" s="355"/>
      <c r="J4" s="356"/>
      <c r="K4" s="157">
        <f>32000/2</f>
        <v>16000</v>
      </c>
      <c r="L4" s="205" t="s">
        <v>21</v>
      </c>
      <c r="M4" s="193"/>
      <c r="N4" s="219">
        <f>K4</f>
        <v>16000</v>
      </c>
      <c r="O4" s="193"/>
      <c r="P4" s="193"/>
      <c r="Q4" s="193"/>
      <c r="R4" s="193"/>
      <c r="S4" s="193"/>
      <c r="T4" s="206"/>
      <c r="U4" s="437"/>
      <c r="V4" s="437">
        <v>16000</v>
      </c>
    </row>
    <row r="5" spans="1:34" ht="45" x14ac:dyDescent="0.25">
      <c r="A5" s="529"/>
      <c r="B5" s="531"/>
      <c r="C5" s="532">
        <v>1.2</v>
      </c>
      <c r="D5" s="534" t="s">
        <v>207</v>
      </c>
      <c r="E5" s="350">
        <v>1</v>
      </c>
      <c r="F5" s="351" t="s">
        <v>18</v>
      </c>
      <c r="G5" s="352" t="s">
        <v>19</v>
      </c>
      <c r="H5" s="349" t="s">
        <v>208</v>
      </c>
      <c r="I5" s="461">
        <v>137600</v>
      </c>
      <c r="J5" s="462">
        <v>137600</v>
      </c>
      <c r="K5" s="370">
        <v>80000</v>
      </c>
      <c r="L5" s="205" t="s">
        <v>21</v>
      </c>
      <c r="M5" s="193"/>
      <c r="N5" s="219">
        <f>K5</f>
        <v>80000</v>
      </c>
      <c r="O5" s="193"/>
      <c r="P5" s="193"/>
      <c r="Q5" s="193"/>
      <c r="R5" s="193"/>
      <c r="S5" s="193"/>
      <c r="T5" s="206"/>
      <c r="U5" s="437">
        <v>137600</v>
      </c>
      <c r="V5" s="437">
        <v>80000</v>
      </c>
    </row>
    <row r="6" spans="1:34" ht="46.35" customHeight="1" x14ac:dyDescent="0.25">
      <c r="A6" s="529"/>
      <c r="B6" s="531"/>
      <c r="C6" s="536"/>
      <c r="D6" s="537"/>
      <c r="E6" s="350">
        <v>1</v>
      </c>
      <c r="F6" s="351" t="s">
        <v>18</v>
      </c>
      <c r="G6" s="352" t="s">
        <v>19</v>
      </c>
      <c r="H6" s="357" t="s">
        <v>209</v>
      </c>
      <c r="I6" s="463">
        <v>20487</v>
      </c>
      <c r="J6" s="432">
        <v>20487</v>
      </c>
      <c r="K6" s="460">
        <f>M6+O6</f>
        <v>209327</v>
      </c>
      <c r="L6" s="205" t="s">
        <v>367</v>
      </c>
      <c r="M6" s="371">
        <v>109327</v>
      </c>
      <c r="N6" s="219"/>
      <c r="O6" s="193">
        <v>100000</v>
      </c>
      <c r="P6" s="193"/>
      <c r="Q6" s="193"/>
      <c r="R6" s="193"/>
      <c r="S6" s="193"/>
      <c r="T6" s="206"/>
      <c r="U6" s="437">
        <v>20487</v>
      </c>
      <c r="V6" s="437">
        <f>109327+100000</f>
        <v>209327</v>
      </c>
    </row>
    <row r="7" spans="1:34" ht="58.35" customHeight="1" x14ac:dyDescent="0.25">
      <c r="A7" s="529"/>
      <c r="B7" s="531"/>
      <c r="C7" s="532">
        <v>1.3</v>
      </c>
      <c r="D7" s="534" t="s">
        <v>211</v>
      </c>
      <c r="E7" s="350">
        <v>2</v>
      </c>
      <c r="F7" s="351" t="s">
        <v>18</v>
      </c>
      <c r="G7" s="352" t="s">
        <v>19</v>
      </c>
      <c r="H7" s="155" t="s">
        <v>212</v>
      </c>
      <c r="I7" s="155"/>
      <c r="J7" s="229"/>
      <c r="K7" s="402">
        <f>P7</f>
        <v>189699.19</v>
      </c>
      <c r="L7" s="205" t="s">
        <v>368</v>
      </c>
      <c r="M7" s="193"/>
      <c r="N7" s="219"/>
      <c r="O7" s="193"/>
      <c r="P7" s="193">
        <v>189699.19</v>
      </c>
      <c r="Q7" s="193"/>
      <c r="R7" s="193"/>
      <c r="S7" s="193"/>
      <c r="T7" s="206"/>
      <c r="U7" s="437"/>
      <c r="V7" s="495">
        <v>188289.79</v>
      </c>
    </row>
    <row r="8" spans="1:34" ht="59.45" customHeight="1" x14ac:dyDescent="0.25">
      <c r="A8" s="529"/>
      <c r="B8" s="531"/>
      <c r="C8" s="536"/>
      <c r="D8" s="537"/>
      <c r="E8" s="350">
        <v>2</v>
      </c>
      <c r="F8" s="521" t="s">
        <v>73</v>
      </c>
      <c r="G8" s="352" t="s">
        <v>19</v>
      </c>
      <c r="H8" s="155" t="s">
        <v>213</v>
      </c>
      <c r="I8" s="155"/>
      <c r="J8" s="229"/>
      <c r="K8" s="402">
        <v>92000</v>
      </c>
      <c r="L8" s="205" t="s">
        <v>33</v>
      </c>
      <c r="M8" s="193"/>
      <c r="N8" s="219"/>
      <c r="O8" s="193"/>
      <c r="P8" s="193"/>
      <c r="Q8" s="371">
        <v>77947.94</v>
      </c>
      <c r="R8" s="193"/>
      <c r="S8" s="193"/>
      <c r="T8" s="206"/>
      <c r="U8" s="437"/>
      <c r="V8" s="437">
        <f>K8-Q8</f>
        <v>14052.059999999998</v>
      </c>
    </row>
    <row r="9" spans="1:34" ht="60" customHeight="1" x14ac:dyDescent="0.25">
      <c r="A9" s="529"/>
      <c r="B9" s="531"/>
      <c r="C9" s="533"/>
      <c r="D9" s="535"/>
      <c r="E9" s="350">
        <v>2</v>
      </c>
      <c r="F9" s="351" t="s">
        <v>73</v>
      </c>
      <c r="G9" s="352" t="s">
        <v>19</v>
      </c>
      <c r="H9" s="155" t="s">
        <v>214</v>
      </c>
      <c r="I9" s="155"/>
      <c r="J9" s="229"/>
      <c r="K9" s="402">
        <v>67000</v>
      </c>
      <c r="L9" s="205" t="s">
        <v>87</v>
      </c>
      <c r="M9" s="193"/>
      <c r="N9" s="219"/>
      <c r="O9" s="193"/>
      <c r="P9" s="193"/>
      <c r="Q9" s="193"/>
      <c r="R9" s="371">
        <v>77000</v>
      </c>
      <c r="S9" s="193"/>
      <c r="T9" s="206"/>
      <c r="U9" s="437"/>
      <c r="V9" s="437"/>
    </row>
    <row r="10" spans="1:34" ht="30" customHeight="1" x14ac:dyDescent="0.25">
      <c r="A10" s="529"/>
      <c r="B10" s="531"/>
      <c r="C10" s="353">
        <v>1.4</v>
      </c>
      <c r="D10" s="354" t="s">
        <v>215</v>
      </c>
      <c r="E10" s="350">
        <v>2</v>
      </c>
      <c r="F10" s="351" t="s">
        <v>73</v>
      </c>
      <c r="G10" s="352" t="s">
        <v>19</v>
      </c>
      <c r="H10" s="155" t="s">
        <v>216</v>
      </c>
      <c r="I10" s="155"/>
      <c r="J10" s="229"/>
      <c r="K10" s="402">
        <f>30000-26</f>
        <v>29974</v>
      </c>
      <c r="L10" s="205" t="s">
        <v>369</v>
      </c>
      <c r="M10" s="193"/>
      <c r="N10" s="219"/>
      <c r="O10" s="193"/>
      <c r="P10" s="193"/>
      <c r="Q10" s="193"/>
      <c r="R10" s="520">
        <v>34026</v>
      </c>
      <c r="S10" s="193"/>
      <c r="T10" s="206"/>
      <c r="U10" s="437"/>
      <c r="V10" s="437"/>
    </row>
    <row r="11" spans="1:34" ht="18" customHeight="1" x14ac:dyDescent="0.25">
      <c r="A11" s="529"/>
      <c r="B11" s="538" t="s">
        <v>51</v>
      </c>
      <c r="C11" s="541" t="s">
        <v>370</v>
      </c>
      <c r="D11" s="542"/>
      <c r="E11" s="542"/>
      <c r="F11" s="542"/>
      <c r="G11" s="542"/>
      <c r="H11" s="543"/>
      <c r="I11" s="438">
        <v>175000</v>
      </c>
      <c r="J11" s="438"/>
      <c r="K11" s="199"/>
      <c r="L11" s="207"/>
      <c r="M11" s="196"/>
      <c r="N11" s="220"/>
      <c r="O11" s="196"/>
      <c r="P11" s="152"/>
      <c r="Q11" s="196"/>
      <c r="R11" s="152"/>
      <c r="S11" s="196"/>
      <c r="T11" s="208"/>
      <c r="U11" s="437"/>
      <c r="V11" s="437"/>
    </row>
    <row r="12" spans="1:34" ht="15" customHeight="1" x14ac:dyDescent="0.25">
      <c r="A12" s="529"/>
      <c r="B12" s="539"/>
      <c r="C12" s="233"/>
      <c r="D12" s="544" t="s">
        <v>220</v>
      </c>
      <c r="E12" s="544"/>
      <c r="F12" s="544"/>
      <c r="G12" s="544"/>
      <c r="H12" s="545"/>
      <c r="I12" s="95">
        <v>194409</v>
      </c>
      <c r="J12" s="95">
        <v>174720</v>
      </c>
      <c r="K12" s="199"/>
      <c r="L12" s="209"/>
      <c r="M12" s="197"/>
      <c r="N12" s="221"/>
      <c r="O12" s="197"/>
      <c r="P12" s="153"/>
      <c r="Q12" s="197"/>
      <c r="R12" s="153"/>
      <c r="S12" s="197"/>
      <c r="T12" s="210"/>
      <c r="U12" s="437">
        <v>105340</v>
      </c>
      <c r="V12" s="437"/>
    </row>
    <row r="13" spans="1:34" ht="15" customHeight="1" x14ac:dyDescent="0.25">
      <c r="A13" s="529"/>
      <c r="B13" s="539"/>
      <c r="C13" s="546" t="s">
        <v>54</v>
      </c>
      <c r="D13" s="544"/>
      <c r="E13" s="544"/>
      <c r="F13" s="544"/>
      <c r="G13" s="544"/>
      <c r="H13" s="545"/>
      <c r="I13" s="444">
        <v>60000</v>
      </c>
      <c r="J13" s="458">
        <v>60000</v>
      </c>
      <c r="K13" s="199"/>
      <c r="L13" s="209"/>
      <c r="M13" s="197"/>
      <c r="N13" s="221"/>
      <c r="O13" s="197"/>
      <c r="P13" s="153"/>
      <c r="Q13" s="197"/>
      <c r="R13" s="153"/>
      <c r="S13" s="197"/>
      <c r="T13" s="210"/>
      <c r="U13" s="437">
        <v>45450</v>
      </c>
      <c r="V13" s="437"/>
    </row>
    <row r="14" spans="1:34" ht="15" customHeight="1" x14ac:dyDescent="0.25">
      <c r="A14" s="529"/>
      <c r="B14" s="539"/>
      <c r="C14" s="388"/>
      <c r="D14" s="389"/>
      <c r="E14" s="389"/>
      <c r="F14" s="389"/>
      <c r="G14" s="389"/>
      <c r="H14" s="390" t="s">
        <v>371</v>
      </c>
      <c r="I14" s="67">
        <v>100000</v>
      </c>
      <c r="J14" s="67">
        <v>75000</v>
      </c>
      <c r="K14" s="199"/>
      <c r="L14" s="209"/>
      <c r="M14" s="197"/>
      <c r="N14" s="221"/>
      <c r="O14" s="197"/>
      <c r="P14" s="153"/>
      <c r="Q14" s="197"/>
      <c r="R14" s="153"/>
      <c r="S14" s="197"/>
      <c r="T14" s="210"/>
      <c r="U14" s="437">
        <v>60497</v>
      </c>
      <c r="V14" s="437"/>
    </row>
    <row r="15" spans="1:34" ht="15" customHeight="1" x14ac:dyDescent="0.25">
      <c r="A15" s="529"/>
      <c r="B15" s="539"/>
      <c r="C15" s="388"/>
      <c r="D15" s="389"/>
      <c r="E15" s="389"/>
      <c r="F15" s="389"/>
      <c r="G15" s="547" t="s">
        <v>372</v>
      </c>
      <c r="H15" s="548"/>
      <c r="I15" s="430"/>
      <c r="J15" s="393"/>
      <c r="K15" s="199"/>
      <c r="L15" s="209"/>
      <c r="M15" s="197"/>
      <c r="N15" s="221"/>
      <c r="O15" s="197"/>
      <c r="P15" s="153"/>
      <c r="Q15" s="197"/>
      <c r="R15" s="153"/>
      <c r="S15" s="197"/>
      <c r="T15" s="210"/>
      <c r="U15" s="437"/>
      <c r="V15" s="437"/>
    </row>
    <row r="16" spans="1:34" ht="15" customHeight="1" x14ac:dyDescent="0.25">
      <c r="A16" s="529"/>
      <c r="B16" s="539"/>
      <c r="C16" s="388"/>
      <c r="D16" s="389"/>
      <c r="E16" s="389"/>
      <c r="F16" s="389"/>
      <c r="G16" s="430"/>
      <c r="H16" s="429" t="s">
        <v>217</v>
      </c>
      <c r="I16" s="445">
        <v>60000</v>
      </c>
      <c r="J16" s="393"/>
      <c r="K16" s="199"/>
      <c r="L16" s="209"/>
      <c r="M16" s="197"/>
      <c r="N16" s="221"/>
      <c r="O16" s="197"/>
      <c r="P16" s="153"/>
      <c r="Q16" s="197"/>
      <c r="R16" s="153"/>
      <c r="S16" s="197"/>
      <c r="T16" s="210"/>
      <c r="U16" s="437"/>
      <c r="V16" s="437"/>
    </row>
    <row r="17" spans="1:23" ht="15" customHeight="1" x14ac:dyDescent="0.25">
      <c r="A17" s="529"/>
      <c r="B17" s="539"/>
      <c r="C17" s="546" t="s">
        <v>221</v>
      </c>
      <c r="D17" s="544"/>
      <c r="E17" s="544"/>
      <c r="F17" s="544"/>
      <c r="G17" s="544"/>
      <c r="H17" s="545"/>
      <c r="I17" s="67">
        <v>215093</v>
      </c>
      <c r="J17" s="67"/>
      <c r="K17" s="199"/>
      <c r="L17" s="209"/>
      <c r="M17" s="197"/>
      <c r="N17" s="221"/>
      <c r="O17" s="197"/>
      <c r="P17" s="153"/>
      <c r="Q17" s="197"/>
      <c r="R17" s="153"/>
      <c r="S17" s="197"/>
      <c r="T17" s="210"/>
      <c r="U17" s="437"/>
      <c r="V17" s="437"/>
    </row>
    <row r="18" spans="1:23" ht="15" customHeight="1" x14ac:dyDescent="0.25">
      <c r="A18" s="530"/>
      <c r="B18" s="540"/>
      <c r="C18" s="546" t="s">
        <v>222</v>
      </c>
      <c r="D18" s="544"/>
      <c r="E18" s="544"/>
      <c r="F18" s="544"/>
      <c r="G18" s="544"/>
      <c r="H18" s="545"/>
      <c r="I18" s="67">
        <v>90268</v>
      </c>
      <c r="J18" s="67"/>
      <c r="K18" s="199"/>
      <c r="L18" s="211"/>
      <c r="M18" s="198"/>
      <c r="N18" s="222"/>
      <c r="O18" s="198"/>
      <c r="P18" s="200"/>
      <c r="Q18" s="198"/>
      <c r="R18" s="200"/>
      <c r="S18" s="198"/>
      <c r="T18" s="212"/>
      <c r="U18" s="437"/>
      <c r="V18" s="437"/>
    </row>
    <row r="19" spans="1:23" x14ac:dyDescent="0.25">
      <c r="A19" s="363"/>
      <c r="B19" s="558" t="s">
        <v>223</v>
      </c>
      <c r="C19" s="559"/>
      <c r="D19" s="559"/>
      <c r="E19" s="559"/>
      <c r="F19" s="559"/>
      <c r="G19" s="559"/>
      <c r="H19" s="560"/>
      <c r="I19" s="342">
        <f>SUM(I3:I18)</f>
        <v>1052857</v>
      </c>
      <c r="J19" s="459">
        <f>SUM(J3:J18)</f>
        <v>467807</v>
      </c>
      <c r="K19" s="343">
        <f>SUM(K3:K10)</f>
        <v>700000.19</v>
      </c>
      <c r="L19" s="348" t="s">
        <v>224</v>
      </c>
      <c r="M19" s="344">
        <f t="shared" ref="M19:V19" si="0">SUM(M3:M18)</f>
        <v>109327</v>
      </c>
      <c r="N19" s="344">
        <f t="shared" si="0"/>
        <v>112000</v>
      </c>
      <c r="O19" s="347">
        <f t="shared" si="0"/>
        <v>100000</v>
      </c>
      <c r="P19" s="347">
        <f>SUM(P3:P18)</f>
        <v>189699.19</v>
      </c>
      <c r="Q19" s="345">
        <f t="shared" si="0"/>
        <v>77947.94</v>
      </c>
      <c r="R19" s="345">
        <f t="shared" si="0"/>
        <v>111026</v>
      </c>
      <c r="S19" s="345">
        <f t="shared" si="0"/>
        <v>0</v>
      </c>
      <c r="T19" s="346">
        <f t="shared" si="0"/>
        <v>0</v>
      </c>
      <c r="U19" s="492">
        <f t="shared" si="0"/>
        <v>369374</v>
      </c>
      <c r="V19" s="237">
        <f t="shared" si="0"/>
        <v>523668.85000000003</v>
      </c>
      <c r="W19" s="519">
        <f>SUM(M19:R19)/K19</f>
        <v>0.99999991428573765</v>
      </c>
    </row>
    <row r="20" spans="1:23" ht="63" customHeight="1" x14ac:dyDescent="0.25">
      <c r="A20" s="549">
        <v>2</v>
      </c>
      <c r="B20" s="551" t="s">
        <v>61</v>
      </c>
      <c r="C20" s="324">
        <v>2.1</v>
      </c>
      <c r="D20" s="325" t="s">
        <v>62</v>
      </c>
      <c r="E20" s="326">
        <v>1</v>
      </c>
      <c r="F20" s="324" t="s">
        <v>18</v>
      </c>
      <c r="G20" s="146" t="s">
        <v>63</v>
      </c>
      <c r="H20" s="327" t="s">
        <v>64</v>
      </c>
      <c r="I20" s="398">
        <v>41933.4</v>
      </c>
      <c r="J20" s="398">
        <v>41933.4</v>
      </c>
      <c r="K20" s="217">
        <v>30000</v>
      </c>
      <c r="L20" s="329" t="s">
        <v>21</v>
      </c>
      <c r="M20" s="330"/>
      <c r="N20" s="331">
        <f>K20</f>
        <v>30000</v>
      </c>
      <c r="O20" s="330"/>
      <c r="P20" s="330"/>
      <c r="Q20" s="330"/>
      <c r="R20" s="330"/>
      <c r="S20" s="330"/>
      <c r="T20" s="332"/>
      <c r="U20" s="437">
        <f>40000+1933.4</f>
        <v>41933.4</v>
      </c>
      <c r="V20" s="437">
        <f>K20</f>
        <v>30000</v>
      </c>
    </row>
    <row r="21" spans="1:23" ht="43.35" customHeight="1" x14ac:dyDescent="0.25">
      <c r="A21" s="550"/>
      <c r="B21" s="551"/>
      <c r="C21" s="552">
        <v>2.2000000000000002</v>
      </c>
      <c r="D21" s="555" t="s">
        <v>65</v>
      </c>
      <c r="E21" s="326">
        <v>1</v>
      </c>
      <c r="F21" s="324" t="s">
        <v>18</v>
      </c>
      <c r="G21" s="146" t="s">
        <v>63</v>
      </c>
      <c r="H21" s="327" t="s">
        <v>225</v>
      </c>
      <c r="I21" s="398">
        <v>23888.87</v>
      </c>
      <c r="J21" s="398">
        <v>23888.87</v>
      </c>
      <c r="K21" s="217">
        <v>15000</v>
      </c>
      <c r="L21" s="329" t="s">
        <v>21</v>
      </c>
      <c r="M21" s="330"/>
      <c r="N21" s="331">
        <f>K21</f>
        <v>15000</v>
      </c>
      <c r="O21" s="330"/>
      <c r="P21" s="330"/>
      <c r="Q21" s="330"/>
      <c r="R21" s="330"/>
      <c r="S21" s="330"/>
      <c r="T21" s="332"/>
      <c r="U21" s="437">
        <v>23888.59</v>
      </c>
      <c r="V21" s="437">
        <f>N21</f>
        <v>15000</v>
      </c>
    </row>
    <row r="22" spans="1:23" ht="43.35" customHeight="1" x14ac:dyDescent="0.25">
      <c r="A22" s="550"/>
      <c r="B22" s="551"/>
      <c r="C22" s="553"/>
      <c r="D22" s="556"/>
      <c r="E22" s="326">
        <v>1</v>
      </c>
      <c r="F22" s="324" t="s">
        <v>18</v>
      </c>
      <c r="G22" s="146" t="s">
        <v>63</v>
      </c>
      <c r="H22" s="327" t="s">
        <v>226</v>
      </c>
      <c r="I22" s="328"/>
      <c r="J22" s="328"/>
      <c r="K22" s="217">
        <v>10000</v>
      </c>
      <c r="L22" s="329" t="s">
        <v>28</v>
      </c>
      <c r="M22" s="330"/>
      <c r="N22" s="331"/>
      <c r="O22" s="330">
        <f>K22</f>
        <v>10000</v>
      </c>
      <c r="P22" s="330"/>
      <c r="Q22" s="330"/>
      <c r="R22" s="330"/>
      <c r="S22" s="330"/>
      <c r="T22" s="332"/>
      <c r="U22" s="437"/>
      <c r="V22" s="437">
        <v>10000</v>
      </c>
    </row>
    <row r="23" spans="1:23" ht="43.35" customHeight="1" x14ac:dyDescent="0.25">
      <c r="A23" s="550"/>
      <c r="B23" s="551"/>
      <c r="C23" s="554"/>
      <c r="D23" s="557"/>
      <c r="E23" s="326">
        <v>1</v>
      </c>
      <c r="F23" s="324" t="s">
        <v>66</v>
      </c>
      <c r="G23" s="146" t="s">
        <v>63</v>
      </c>
      <c r="H23" s="327" t="s">
        <v>227</v>
      </c>
      <c r="I23" s="328"/>
      <c r="J23" s="328"/>
      <c r="K23" s="395">
        <v>31200</v>
      </c>
      <c r="L23" s="329" t="s">
        <v>373</v>
      </c>
      <c r="M23" s="330"/>
      <c r="N23" s="331"/>
      <c r="O23" s="330"/>
      <c r="P23" s="394">
        <f>K23</f>
        <v>31200</v>
      </c>
      <c r="Q23" s="330"/>
      <c r="R23" s="330"/>
      <c r="S23" s="330"/>
      <c r="T23" s="332"/>
      <c r="U23" s="437"/>
      <c r="V23" s="495">
        <v>28879.3</v>
      </c>
      <c r="W23" s="491"/>
    </row>
    <row r="24" spans="1:23" ht="30" x14ac:dyDescent="0.25">
      <c r="A24" s="550"/>
      <c r="B24" s="551"/>
      <c r="C24" s="552">
        <v>2.2999999999999998</v>
      </c>
      <c r="D24" s="555" t="s">
        <v>374</v>
      </c>
      <c r="E24" s="326">
        <v>1</v>
      </c>
      <c r="F24" s="324" t="s">
        <v>18</v>
      </c>
      <c r="G24" s="146" t="s">
        <v>228</v>
      </c>
      <c r="H24" s="327" t="s">
        <v>375</v>
      </c>
      <c r="I24" s="328"/>
      <c r="J24" s="328"/>
      <c r="K24" s="217">
        <v>20000</v>
      </c>
      <c r="L24" s="329" t="s">
        <v>21</v>
      </c>
      <c r="M24" s="330"/>
      <c r="N24" s="331">
        <f>K24</f>
        <v>20000</v>
      </c>
      <c r="O24" s="330"/>
      <c r="P24" s="330"/>
      <c r="Q24" s="330"/>
      <c r="R24" s="330"/>
      <c r="S24" s="330"/>
      <c r="T24" s="332"/>
      <c r="U24" s="437"/>
      <c r="V24" s="437">
        <f>N24</f>
        <v>20000</v>
      </c>
    </row>
    <row r="25" spans="1:23" ht="45" x14ac:dyDescent="0.25">
      <c r="A25" s="550"/>
      <c r="B25" s="551"/>
      <c r="C25" s="554"/>
      <c r="D25" s="557"/>
      <c r="E25" s="326">
        <v>1</v>
      </c>
      <c r="F25" s="324" t="s">
        <v>66</v>
      </c>
      <c r="G25" s="146" t="s">
        <v>228</v>
      </c>
      <c r="H25" s="327" t="s">
        <v>376</v>
      </c>
      <c r="I25" s="328"/>
      <c r="J25" s="328"/>
      <c r="K25" s="178">
        <v>64865</v>
      </c>
      <c r="L25" s="329" t="s">
        <v>231</v>
      </c>
      <c r="M25" s="330"/>
      <c r="N25" s="331"/>
      <c r="O25" s="330">
        <v>25000</v>
      </c>
      <c r="P25" s="394">
        <v>7865</v>
      </c>
      <c r="Q25" s="394">
        <v>10090.91</v>
      </c>
      <c r="R25" s="394">
        <v>8000</v>
      </c>
      <c r="S25" s="394">
        <v>8000</v>
      </c>
      <c r="T25" s="424">
        <v>8000</v>
      </c>
      <c r="U25" s="437"/>
      <c r="V25" s="437">
        <f>O25+P25</f>
        <v>32865</v>
      </c>
    </row>
    <row r="26" spans="1:23" ht="45" x14ac:dyDescent="0.25">
      <c r="A26" s="550"/>
      <c r="B26" s="551"/>
      <c r="C26" s="324">
        <v>2.4</v>
      </c>
      <c r="D26" s="325" t="s">
        <v>72</v>
      </c>
      <c r="E26" s="326">
        <v>1</v>
      </c>
      <c r="F26" s="324" t="s">
        <v>232</v>
      </c>
      <c r="G26" s="146" t="s">
        <v>74</v>
      </c>
      <c r="H26" s="327" t="s">
        <v>75</v>
      </c>
      <c r="I26" s="328"/>
      <c r="J26" s="328"/>
      <c r="K26" s="217">
        <v>40000</v>
      </c>
      <c r="L26" s="386" t="s">
        <v>233</v>
      </c>
      <c r="M26" s="330"/>
      <c r="N26" s="331"/>
      <c r="O26" s="330"/>
      <c r="P26" s="330"/>
      <c r="Q26" s="330"/>
      <c r="R26" s="330"/>
      <c r="S26" s="330">
        <v>40000</v>
      </c>
      <c r="T26" s="332"/>
      <c r="U26" s="437"/>
      <c r="V26" s="437"/>
    </row>
    <row r="27" spans="1:23" ht="45" x14ac:dyDescent="0.25">
      <c r="A27" s="550"/>
      <c r="B27" s="551"/>
      <c r="C27" s="552">
        <v>2.5</v>
      </c>
      <c r="D27" s="555" t="s">
        <v>76</v>
      </c>
      <c r="E27" s="326">
        <v>2</v>
      </c>
      <c r="F27" s="324" t="s">
        <v>77</v>
      </c>
      <c r="G27" s="146" t="s">
        <v>63</v>
      </c>
      <c r="H27" s="327" t="s">
        <v>234</v>
      </c>
      <c r="I27" s="328">
        <v>3184</v>
      </c>
      <c r="J27" s="496">
        <v>1946.48</v>
      </c>
      <c r="K27" s="217">
        <v>5000</v>
      </c>
      <c r="L27" s="329" t="s">
        <v>21</v>
      </c>
      <c r="M27" s="330"/>
      <c r="N27" s="331">
        <f>K27</f>
        <v>5000</v>
      </c>
      <c r="O27" s="330"/>
      <c r="P27" s="330"/>
      <c r="Q27" s="330"/>
      <c r="R27" s="330"/>
      <c r="S27" s="330"/>
      <c r="T27" s="332"/>
      <c r="U27" s="437">
        <v>1946.48</v>
      </c>
      <c r="V27" s="437">
        <v>5000</v>
      </c>
    </row>
    <row r="28" spans="1:23" x14ac:dyDescent="0.25">
      <c r="A28" s="550"/>
      <c r="B28" s="551"/>
      <c r="C28" s="554"/>
      <c r="D28" s="557"/>
      <c r="E28" s="326">
        <v>2</v>
      </c>
      <c r="F28" s="324" t="s">
        <v>18</v>
      </c>
      <c r="G28" s="146" t="s">
        <v>63</v>
      </c>
      <c r="H28" s="327" t="s">
        <v>235</v>
      </c>
      <c r="I28" s="328"/>
      <c r="J28" s="328"/>
      <c r="K28" s="487">
        <v>5584</v>
      </c>
      <c r="L28" s="329" t="s">
        <v>28</v>
      </c>
      <c r="M28" s="330"/>
      <c r="N28" s="331"/>
      <c r="O28" s="396">
        <v>5584</v>
      </c>
      <c r="P28" s="330"/>
      <c r="Q28" s="330"/>
      <c r="R28" s="330"/>
      <c r="S28" s="330"/>
      <c r="T28" s="332"/>
      <c r="U28" s="437"/>
      <c r="V28" s="437">
        <v>5584</v>
      </c>
    </row>
    <row r="29" spans="1:23" ht="45" x14ac:dyDescent="0.25">
      <c r="A29" s="550"/>
      <c r="B29" s="551"/>
      <c r="C29" s="324">
        <v>2.6</v>
      </c>
      <c r="D29" s="325" t="s">
        <v>80</v>
      </c>
      <c r="E29" s="326">
        <v>2</v>
      </c>
      <c r="F29" s="324" t="s">
        <v>66</v>
      </c>
      <c r="G29" s="146" t="s">
        <v>63</v>
      </c>
      <c r="H29" s="327" t="s">
        <v>81</v>
      </c>
      <c r="I29" s="328"/>
      <c r="J29" s="328"/>
      <c r="K29" s="217">
        <v>30000</v>
      </c>
      <c r="L29" s="329" t="s">
        <v>373</v>
      </c>
      <c r="M29" s="330"/>
      <c r="N29" s="331"/>
      <c r="O29" s="330"/>
      <c r="P29" s="371">
        <f>K29</f>
        <v>30000</v>
      </c>
      <c r="Q29" s="330"/>
      <c r="R29" s="330"/>
      <c r="S29" s="330"/>
      <c r="T29" s="332"/>
      <c r="U29" s="437"/>
      <c r="V29" s="437">
        <v>30000</v>
      </c>
    </row>
    <row r="30" spans="1:23" ht="30" x14ac:dyDescent="0.25">
      <c r="A30" s="550"/>
      <c r="B30" s="551"/>
      <c r="C30" s="552">
        <v>2.7</v>
      </c>
      <c r="D30" s="555" t="s">
        <v>82</v>
      </c>
      <c r="E30" s="326">
        <v>2</v>
      </c>
      <c r="F30" s="324" t="s">
        <v>18</v>
      </c>
      <c r="G30" s="146" t="s">
        <v>63</v>
      </c>
      <c r="H30" s="327" t="s">
        <v>236</v>
      </c>
      <c r="I30" s="328"/>
      <c r="J30" s="328"/>
      <c r="K30" s="217">
        <v>10000</v>
      </c>
      <c r="L30" s="329" t="s">
        <v>21</v>
      </c>
      <c r="M30" s="330"/>
      <c r="N30" s="331">
        <f>K30</f>
        <v>10000</v>
      </c>
      <c r="O30" s="330"/>
      <c r="P30" s="330"/>
      <c r="Q30" s="330"/>
      <c r="R30" s="330"/>
      <c r="S30" s="330"/>
      <c r="T30" s="332"/>
      <c r="U30" s="437"/>
      <c r="V30" s="437">
        <v>10000</v>
      </c>
    </row>
    <row r="31" spans="1:23" ht="45" x14ac:dyDescent="0.25">
      <c r="A31" s="550"/>
      <c r="B31" s="551"/>
      <c r="C31" s="553"/>
      <c r="D31" s="556"/>
      <c r="E31" s="326">
        <v>2</v>
      </c>
      <c r="F31" s="324" t="s">
        <v>377</v>
      </c>
      <c r="G31" s="146" t="s">
        <v>63</v>
      </c>
      <c r="H31" s="327" t="s">
        <v>237</v>
      </c>
      <c r="I31" s="328"/>
      <c r="J31" s="328"/>
      <c r="K31" s="178">
        <v>16000</v>
      </c>
      <c r="L31" s="329" t="s">
        <v>378</v>
      </c>
      <c r="M31" s="330"/>
      <c r="N31" s="331"/>
      <c r="O31" s="330"/>
      <c r="P31" s="330"/>
      <c r="Q31" s="394">
        <v>17355.39</v>
      </c>
      <c r="R31" s="330"/>
      <c r="S31" s="330"/>
      <c r="T31" s="332"/>
      <c r="U31" s="437"/>
      <c r="V31" s="437">
        <v>9508.52</v>
      </c>
    </row>
    <row r="32" spans="1:23" ht="30" x14ac:dyDescent="0.25">
      <c r="A32" s="550"/>
      <c r="B32" s="551"/>
      <c r="C32" s="324">
        <v>2.8</v>
      </c>
      <c r="D32" s="234" t="s">
        <v>85</v>
      </c>
      <c r="E32" s="326">
        <v>2</v>
      </c>
      <c r="F32" s="324" t="s">
        <v>66</v>
      </c>
      <c r="G32" s="146" t="s">
        <v>63</v>
      </c>
      <c r="H32" s="327" t="s">
        <v>238</v>
      </c>
      <c r="I32" s="328"/>
      <c r="J32" s="328"/>
      <c r="K32" s="178">
        <v>16000</v>
      </c>
      <c r="L32" s="329" t="s">
        <v>87</v>
      </c>
      <c r="M32" s="330"/>
      <c r="N32" s="331"/>
      <c r="O32" s="330"/>
      <c r="P32" s="330"/>
      <c r="Q32" s="330"/>
      <c r="R32" s="394">
        <f>K32-3446</f>
        <v>12554</v>
      </c>
      <c r="S32" s="330"/>
      <c r="T32" s="332"/>
      <c r="U32" s="437"/>
      <c r="V32" s="437"/>
    </row>
    <row r="33" spans="1:23" ht="30" x14ac:dyDescent="0.25">
      <c r="A33" s="550"/>
      <c r="B33" s="551"/>
      <c r="C33" s="324">
        <v>2.9</v>
      </c>
      <c r="D33" s="325" t="s">
        <v>88</v>
      </c>
      <c r="E33" s="326">
        <v>2</v>
      </c>
      <c r="F33" s="324" t="s">
        <v>66</v>
      </c>
      <c r="G33" s="146" t="s">
        <v>379</v>
      </c>
      <c r="H33" s="327" t="s">
        <v>239</v>
      </c>
      <c r="I33" s="328"/>
      <c r="J33" s="328"/>
      <c r="K33" s="217">
        <v>40000</v>
      </c>
      <c r="L33" s="329" t="s">
        <v>380</v>
      </c>
      <c r="M33" s="330"/>
      <c r="N33" s="331"/>
      <c r="O33" s="330"/>
      <c r="P33" s="330"/>
      <c r="Q33" s="330"/>
      <c r="R33" s="416"/>
      <c r="S33" s="330"/>
      <c r="T33" s="407">
        <f>K33</f>
        <v>40000</v>
      </c>
      <c r="U33" s="437"/>
      <c r="V33" s="437"/>
    </row>
    <row r="34" spans="1:23" ht="30" x14ac:dyDescent="0.25">
      <c r="A34" s="550"/>
      <c r="B34" s="551"/>
      <c r="C34" s="333">
        <v>2.1</v>
      </c>
      <c r="D34" s="325" t="s">
        <v>93</v>
      </c>
      <c r="E34" s="326">
        <v>2</v>
      </c>
      <c r="F34" s="324" t="s">
        <v>73</v>
      </c>
      <c r="G34" s="146" t="s">
        <v>74</v>
      </c>
      <c r="H34" s="327" t="s">
        <v>240</v>
      </c>
      <c r="I34" s="328"/>
      <c r="J34" s="446"/>
      <c r="K34" s="217">
        <f>75000-8200-449</f>
        <v>66351</v>
      </c>
      <c r="L34" s="329" t="s">
        <v>381</v>
      </c>
      <c r="M34" s="330"/>
      <c r="N34" s="331"/>
      <c r="O34" s="330"/>
      <c r="P34" s="330"/>
      <c r="Q34" s="330"/>
      <c r="R34" s="330"/>
      <c r="S34" s="330"/>
      <c r="T34" s="407">
        <f>K34</f>
        <v>66351</v>
      </c>
      <c r="U34" s="437"/>
      <c r="V34" s="437"/>
    </row>
    <row r="35" spans="1:23" x14ac:dyDescent="0.25">
      <c r="A35" s="550"/>
      <c r="B35" s="564" t="s">
        <v>96</v>
      </c>
      <c r="C35" s="566" t="s">
        <v>382</v>
      </c>
      <c r="D35" s="567"/>
      <c r="E35" s="567"/>
      <c r="F35" s="567"/>
      <c r="G35" s="567"/>
      <c r="H35" s="568"/>
      <c r="I35" s="428">
        <v>75000</v>
      </c>
      <c r="J35" s="450"/>
      <c r="K35" s="217"/>
      <c r="L35" s="338"/>
      <c r="M35" s="339"/>
      <c r="N35" s="331"/>
      <c r="O35" s="330"/>
      <c r="P35" s="330"/>
      <c r="Q35" s="330"/>
      <c r="R35" s="330"/>
      <c r="S35" s="330"/>
      <c r="T35" s="332"/>
      <c r="U35" s="437"/>
      <c r="V35" s="437"/>
    </row>
    <row r="36" spans="1:23" x14ac:dyDescent="0.25">
      <c r="A36" s="550"/>
      <c r="B36" s="565"/>
      <c r="C36" s="334"/>
      <c r="D36" s="335"/>
      <c r="E36" s="335"/>
      <c r="F36" s="335"/>
      <c r="G36" s="335"/>
      <c r="H36" s="336" t="s">
        <v>242</v>
      </c>
      <c r="I36" s="337">
        <v>100000</v>
      </c>
      <c r="J36" s="446">
        <v>100000</v>
      </c>
      <c r="K36" s="217"/>
      <c r="L36" s="340"/>
      <c r="M36" s="341"/>
      <c r="N36" s="331"/>
      <c r="O36" s="330"/>
      <c r="P36" s="330"/>
      <c r="Q36" s="330"/>
      <c r="R36" s="330"/>
      <c r="S36" s="330"/>
      <c r="T36" s="332"/>
      <c r="U36" s="437">
        <v>54706.07</v>
      </c>
      <c r="V36" s="437"/>
    </row>
    <row r="37" spans="1:23" x14ac:dyDescent="0.25">
      <c r="A37" s="550"/>
      <c r="B37" s="565"/>
      <c r="C37" s="561" t="s">
        <v>243</v>
      </c>
      <c r="D37" s="562"/>
      <c r="E37" s="562"/>
      <c r="F37" s="562"/>
      <c r="G37" s="562"/>
      <c r="H37" s="563"/>
      <c r="I37" s="337">
        <v>214000</v>
      </c>
      <c r="J37" s="446">
        <v>213910.38</v>
      </c>
      <c r="K37" s="217"/>
      <c r="L37" s="340"/>
      <c r="M37" s="341"/>
      <c r="N37" s="331"/>
      <c r="O37" s="330"/>
      <c r="P37" s="330"/>
      <c r="Q37" s="330"/>
      <c r="R37" s="330"/>
      <c r="S37" s="330"/>
      <c r="T37" s="332"/>
      <c r="U37" s="437">
        <v>213910.38</v>
      </c>
      <c r="V37" s="437"/>
    </row>
    <row r="38" spans="1:23" x14ac:dyDescent="0.25">
      <c r="A38" s="550"/>
      <c r="B38" s="565"/>
      <c r="C38" s="561" t="s">
        <v>244</v>
      </c>
      <c r="D38" s="562"/>
      <c r="E38" s="562"/>
      <c r="F38" s="562"/>
      <c r="G38" s="562"/>
      <c r="H38" s="563"/>
      <c r="I38" s="337">
        <v>40000</v>
      </c>
      <c r="J38" s="446">
        <v>41354</v>
      </c>
      <c r="K38" s="217"/>
      <c r="L38" s="340"/>
      <c r="M38" s="341"/>
      <c r="N38" s="331"/>
      <c r="O38" s="330"/>
      <c r="P38" s="330"/>
      <c r="Q38" s="330"/>
      <c r="R38" s="330"/>
      <c r="S38" s="330"/>
      <c r="T38" s="332"/>
      <c r="U38" s="518">
        <v>41354</v>
      </c>
      <c r="V38" s="437"/>
    </row>
    <row r="39" spans="1:23" x14ac:dyDescent="0.25">
      <c r="A39" s="550"/>
      <c r="B39" s="565"/>
      <c r="C39" s="334"/>
      <c r="D39" s="335"/>
      <c r="E39" s="335"/>
      <c r="F39" s="335"/>
      <c r="G39" s="584" t="s">
        <v>383</v>
      </c>
      <c r="H39" s="585"/>
      <c r="I39" s="422">
        <v>122000</v>
      </c>
      <c r="J39" s="447">
        <v>122000</v>
      </c>
      <c r="K39" s="217"/>
      <c r="L39" s="340"/>
      <c r="M39" s="341"/>
      <c r="N39" s="331"/>
      <c r="O39" s="330"/>
      <c r="P39" s="330"/>
      <c r="Q39" s="330"/>
      <c r="R39" s="330"/>
      <c r="S39" s="330"/>
      <c r="T39" s="332"/>
      <c r="U39" s="437">
        <f>J39</f>
        <v>122000</v>
      </c>
      <c r="V39" s="437"/>
    </row>
    <row r="40" spans="1:23" x14ac:dyDescent="0.25">
      <c r="A40" s="550"/>
      <c r="B40" s="565"/>
      <c r="C40" s="334"/>
      <c r="D40" s="335"/>
      <c r="E40" s="335"/>
      <c r="F40" s="335"/>
      <c r="G40" s="335"/>
      <c r="H40" s="400" t="s">
        <v>384</v>
      </c>
      <c r="I40" s="399">
        <v>870.59</v>
      </c>
      <c r="J40" s="448">
        <v>870.59</v>
      </c>
      <c r="K40" s="217"/>
      <c r="L40" s="340"/>
      <c r="M40" s="341"/>
      <c r="N40" s="331"/>
      <c r="O40" s="330"/>
      <c r="P40" s="330"/>
      <c r="Q40" s="330"/>
      <c r="R40" s="330"/>
      <c r="S40" s="330"/>
      <c r="T40" s="332"/>
      <c r="U40" s="437">
        <v>870.59</v>
      </c>
      <c r="V40" s="437"/>
    </row>
    <row r="41" spans="1:23" x14ac:dyDescent="0.25">
      <c r="A41" s="550"/>
      <c r="B41" s="565"/>
      <c r="C41" s="334"/>
      <c r="D41" s="335"/>
      <c r="E41" s="335"/>
      <c r="F41" s="335"/>
      <c r="G41" s="335"/>
      <c r="H41" s="400" t="s">
        <v>385</v>
      </c>
      <c r="I41" s="399">
        <v>7230.44</v>
      </c>
      <c r="J41" s="448">
        <v>7230.44</v>
      </c>
      <c r="K41" s="217"/>
      <c r="L41" s="340"/>
      <c r="M41" s="341"/>
      <c r="N41" s="331"/>
      <c r="O41" s="330"/>
      <c r="P41" s="330"/>
      <c r="Q41" s="330"/>
      <c r="R41" s="330"/>
      <c r="S41" s="330"/>
      <c r="T41" s="332"/>
      <c r="U41" s="437">
        <v>7230.44</v>
      </c>
      <c r="V41" s="437"/>
      <c r="W41" s="49"/>
    </row>
    <row r="42" spans="1:23" x14ac:dyDescent="0.25">
      <c r="A42" s="550"/>
      <c r="B42" s="565"/>
      <c r="C42" s="334"/>
      <c r="D42" s="335"/>
      <c r="E42" s="335"/>
      <c r="F42" s="335"/>
      <c r="G42" s="335"/>
      <c r="H42" s="433" t="s">
        <v>386</v>
      </c>
      <c r="I42" s="434"/>
      <c r="J42" s="449"/>
      <c r="K42" s="217"/>
      <c r="L42" s="340"/>
      <c r="M42" s="341"/>
      <c r="N42" s="331"/>
      <c r="O42" s="330"/>
      <c r="P42" s="330"/>
      <c r="Q42" s="330"/>
      <c r="R42" s="330"/>
      <c r="S42" s="330"/>
      <c r="T42" s="332"/>
      <c r="U42" s="437"/>
      <c r="V42" s="437"/>
    </row>
    <row r="43" spans="1:23" x14ac:dyDescent="0.25">
      <c r="A43" s="550"/>
      <c r="B43" s="565"/>
      <c r="C43" s="561" t="s">
        <v>245</v>
      </c>
      <c r="D43" s="562"/>
      <c r="E43" s="562"/>
      <c r="F43" s="562"/>
      <c r="G43" s="562"/>
      <c r="H43" s="563"/>
      <c r="I43" s="428">
        <f>168000+15000</f>
        <v>183000</v>
      </c>
      <c r="J43" s="450"/>
      <c r="K43" s="217"/>
      <c r="L43" s="340"/>
      <c r="M43" s="341"/>
      <c r="N43" s="331"/>
      <c r="O43" s="330"/>
      <c r="P43" s="330"/>
      <c r="Q43" s="330"/>
      <c r="R43" s="330"/>
      <c r="S43" s="330"/>
      <c r="T43" s="332"/>
      <c r="U43" s="437"/>
      <c r="V43" s="437"/>
    </row>
    <row r="44" spans="1:23" x14ac:dyDescent="0.25">
      <c r="A44" s="550"/>
      <c r="B44" s="565"/>
      <c r="C44" s="561" t="s">
        <v>104</v>
      </c>
      <c r="D44" s="562"/>
      <c r="E44" s="562"/>
      <c r="F44" s="562"/>
      <c r="G44" s="562"/>
      <c r="H44" s="563"/>
      <c r="I44" s="337">
        <v>547346</v>
      </c>
      <c r="J44" s="446">
        <v>547346</v>
      </c>
      <c r="K44" s="217"/>
      <c r="L44" s="340"/>
      <c r="M44" s="341"/>
      <c r="N44" s="331"/>
      <c r="O44" s="330"/>
      <c r="P44" s="330"/>
      <c r="Q44" s="330"/>
      <c r="R44" s="330"/>
      <c r="S44" s="330"/>
      <c r="T44" s="332"/>
      <c r="U44" s="437">
        <v>432904.01</v>
      </c>
      <c r="V44" s="437"/>
      <c r="W44" s="49"/>
    </row>
    <row r="45" spans="1:23" x14ac:dyDescent="0.25">
      <c r="A45" s="364"/>
      <c r="B45" s="572" t="s">
        <v>107</v>
      </c>
      <c r="C45" s="573"/>
      <c r="D45" s="573"/>
      <c r="E45" s="573"/>
      <c r="F45" s="573"/>
      <c r="G45" s="573"/>
      <c r="H45" s="574"/>
      <c r="I45" s="319">
        <f>SUM(I20:I44)</f>
        <v>1358453.2999999998</v>
      </c>
      <c r="J45" s="319">
        <f>SUM(J20:J44)</f>
        <v>1100480.1599999999</v>
      </c>
      <c r="K45" s="228">
        <f>SUM(K20:K34)</f>
        <v>400000</v>
      </c>
      <c r="L45" s="320" t="s">
        <v>246</v>
      </c>
      <c r="M45" s="321">
        <f>SUM(M20:M43)</f>
        <v>0</v>
      </c>
      <c r="N45" s="322">
        <f>SUM(N20:N44)</f>
        <v>80000</v>
      </c>
      <c r="O45" s="397">
        <f t="shared" ref="O45:T45" si="1">SUM(O20:O44)</f>
        <v>40584</v>
      </c>
      <c r="P45" s="321">
        <f t="shared" si="1"/>
        <v>69065</v>
      </c>
      <c r="Q45" s="321">
        <f t="shared" si="1"/>
        <v>27446.3</v>
      </c>
      <c r="R45" s="321">
        <f t="shared" si="1"/>
        <v>20554</v>
      </c>
      <c r="S45" s="321">
        <f t="shared" si="1"/>
        <v>48000</v>
      </c>
      <c r="T45" s="323">
        <f t="shared" si="1"/>
        <v>114351</v>
      </c>
      <c r="U45" s="492">
        <f>SUM(U20:U44)</f>
        <v>940743.96000000008</v>
      </c>
      <c r="V45" s="237">
        <f>SUM(V20:V44)</f>
        <v>196836.81999999998</v>
      </c>
      <c r="W45" s="519">
        <f>SUM(M45:R45)/K45</f>
        <v>0.59412324999999999</v>
      </c>
    </row>
    <row r="46" spans="1:23" ht="36" customHeight="1" x14ac:dyDescent="0.25">
      <c r="A46" s="629">
        <v>3</v>
      </c>
      <c r="B46" s="586" t="s">
        <v>247</v>
      </c>
      <c r="C46" s="575">
        <v>3.1</v>
      </c>
      <c r="D46" s="575" t="s">
        <v>248</v>
      </c>
      <c r="E46" s="294">
        <v>1</v>
      </c>
      <c r="F46" s="292" t="s">
        <v>18</v>
      </c>
      <c r="G46" s="295" t="s">
        <v>249</v>
      </c>
      <c r="H46" s="296" t="s">
        <v>387</v>
      </c>
      <c r="I46" s="452">
        <v>1115</v>
      </c>
      <c r="J46" s="451">
        <v>1115</v>
      </c>
      <c r="K46" s="402">
        <v>15600</v>
      </c>
      <c r="L46" s="298" t="s">
        <v>28</v>
      </c>
      <c r="M46" s="303"/>
      <c r="N46" s="300"/>
      <c r="O46" s="401">
        <v>15600</v>
      </c>
      <c r="P46" s="299"/>
      <c r="Q46" s="299"/>
      <c r="R46" s="299"/>
      <c r="S46" s="299"/>
      <c r="T46" s="301"/>
      <c r="U46" s="437">
        <v>1115</v>
      </c>
      <c r="V46" s="437">
        <v>15600</v>
      </c>
    </row>
    <row r="47" spans="1:23" ht="36" customHeight="1" x14ac:dyDescent="0.25">
      <c r="A47" s="630"/>
      <c r="B47" s="587"/>
      <c r="C47" s="577"/>
      <c r="D47" s="577"/>
      <c r="E47" s="294">
        <v>1</v>
      </c>
      <c r="F47" s="292" t="s">
        <v>18</v>
      </c>
      <c r="G47" s="295" t="s">
        <v>249</v>
      </c>
      <c r="H47" s="498" t="s">
        <v>388</v>
      </c>
      <c r="I47" s="452"/>
      <c r="J47" s="451"/>
      <c r="K47" s="402">
        <v>15000</v>
      </c>
      <c r="L47" s="497" t="s">
        <v>33</v>
      </c>
      <c r="M47" s="303"/>
      <c r="N47" s="300"/>
      <c r="O47" s="401"/>
      <c r="P47" s="299"/>
      <c r="Q47" s="394">
        <v>18000</v>
      </c>
      <c r="R47" s="299"/>
      <c r="S47" s="299"/>
      <c r="T47" s="301"/>
      <c r="U47" s="437"/>
      <c r="V47" s="437"/>
    </row>
    <row r="48" spans="1:23" ht="36" customHeight="1" x14ac:dyDescent="0.25">
      <c r="A48" s="630"/>
      <c r="B48" s="587"/>
      <c r="C48" s="292">
        <v>3.2</v>
      </c>
      <c r="D48" s="293" t="s">
        <v>251</v>
      </c>
      <c r="E48" s="294">
        <v>1</v>
      </c>
      <c r="F48" s="292" t="s">
        <v>110</v>
      </c>
      <c r="G48" s="295" t="s">
        <v>389</v>
      </c>
      <c r="H48" s="296" t="s">
        <v>252</v>
      </c>
      <c r="I48" s="439"/>
      <c r="J48" s="297"/>
      <c r="K48" s="181">
        <v>35000</v>
      </c>
      <c r="L48" s="302" t="s">
        <v>33</v>
      </c>
      <c r="M48" s="303"/>
      <c r="N48" s="300"/>
      <c r="O48" s="299"/>
      <c r="P48" s="299"/>
      <c r="Q48" s="299">
        <v>35456.15</v>
      </c>
      <c r="R48" s="299"/>
      <c r="S48" s="299"/>
      <c r="T48" s="301"/>
      <c r="V48" s="437">
        <v>5700</v>
      </c>
    </row>
    <row r="49" spans="1:20" ht="32.1" customHeight="1" x14ac:dyDescent="0.25">
      <c r="A49" s="630"/>
      <c r="B49" s="587"/>
      <c r="C49" s="575">
        <v>3.3</v>
      </c>
      <c r="D49" s="578" t="s">
        <v>253</v>
      </c>
      <c r="E49" s="294">
        <v>1</v>
      </c>
      <c r="F49" s="292" t="s">
        <v>31</v>
      </c>
      <c r="G49" s="295" t="s">
        <v>116</v>
      </c>
      <c r="H49" s="296" t="s">
        <v>254</v>
      </c>
      <c r="I49" s="439"/>
      <c r="J49" s="297"/>
      <c r="K49" s="181">
        <v>25000</v>
      </c>
      <c r="L49" s="302" t="s">
        <v>33</v>
      </c>
      <c r="M49" s="303"/>
      <c r="N49" s="300"/>
      <c r="O49" s="299"/>
      <c r="P49" s="299"/>
      <c r="Q49" s="371">
        <v>26250</v>
      </c>
      <c r="R49" s="299"/>
      <c r="S49" s="299"/>
      <c r="T49" s="301"/>
    </row>
    <row r="50" spans="1:20" ht="50.45" customHeight="1" x14ac:dyDescent="0.25">
      <c r="A50" s="630"/>
      <c r="B50" s="587"/>
      <c r="C50" s="576"/>
      <c r="D50" s="579"/>
      <c r="E50" s="294">
        <v>1</v>
      </c>
      <c r="F50" s="292" t="s">
        <v>110</v>
      </c>
      <c r="G50" s="295" t="s">
        <v>390</v>
      </c>
      <c r="H50" s="296" t="s">
        <v>391</v>
      </c>
      <c r="I50" s="439"/>
      <c r="J50" s="297"/>
      <c r="K50" s="181">
        <v>30000</v>
      </c>
      <c r="L50" s="302" t="s">
        <v>392</v>
      </c>
      <c r="M50" s="303"/>
      <c r="N50" s="300"/>
      <c r="O50" s="299"/>
      <c r="P50" s="299"/>
      <c r="Q50" s="299"/>
      <c r="R50" s="394">
        <f>K50</f>
        <v>30000</v>
      </c>
      <c r="S50" s="299"/>
      <c r="T50" s="301"/>
    </row>
    <row r="51" spans="1:20" ht="52.35" customHeight="1" x14ac:dyDescent="0.25">
      <c r="A51" s="630"/>
      <c r="B51" s="587"/>
      <c r="C51" s="576"/>
      <c r="D51" s="579"/>
      <c r="E51" s="294">
        <v>1</v>
      </c>
      <c r="F51" s="292" t="s">
        <v>110</v>
      </c>
      <c r="G51" s="295" t="s">
        <v>390</v>
      </c>
      <c r="H51" s="296" t="s">
        <v>393</v>
      </c>
      <c r="I51" s="439"/>
      <c r="J51" s="297"/>
      <c r="K51" s="181">
        <f>89000-4706</f>
        <v>84294</v>
      </c>
      <c r="L51" s="302" t="s">
        <v>87</v>
      </c>
      <c r="M51" s="303"/>
      <c r="N51" s="300"/>
      <c r="O51" s="299"/>
      <c r="P51" s="299"/>
      <c r="Q51" s="299"/>
      <c r="R51" s="394">
        <f>K51</f>
        <v>84294</v>
      </c>
      <c r="S51" s="299"/>
      <c r="T51" s="301"/>
    </row>
    <row r="52" spans="1:20" ht="27" customHeight="1" x14ac:dyDescent="0.25">
      <c r="A52" s="630"/>
      <c r="B52" s="587"/>
      <c r="C52" s="577"/>
      <c r="D52" s="580"/>
      <c r="E52" s="294">
        <v>1</v>
      </c>
      <c r="F52" s="292" t="s">
        <v>18</v>
      </c>
      <c r="G52" s="295" t="s">
        <v>116</v>
      </c>
      <c r="H52" s="293" t="s">
        <v>394</v>
      </c>
      <c r="I52" s="306"/>
      <c r="J52" s="297"/>
      <c r="K52" s="181">
        <v>20000</v>
      </c>
      <c r="L52" s="302" t="s">
        <v>392</v>
      </c>
      <c r="M52" s="303"/>
      <c r="N52" s="300"/>
      <c r="O52" s="299"/>
      <c r="P52" s="299"/>
      <c r="Q52" s="299"/>
      <c r="R52" s="371">
        <f>K52</f>
        <v>20000</v>
      </c>
      <c r="S52" s="299"/>
      <c r="T52" s="301"/>
    </row>
    <row r="53" spans="1:20" ht="48" customHeight="1" x14ac:dyDescent="0.25">
      <c r="A53" s="630"/>
      <c r="B53" s="587"/>
      <c r="C53" s="304">
        <v>3.4</v>
      </c>
      <c r="D53" s="305" t="s">
        <v>257</v>
      </c>
      <c r="E53" s="294">
        <v>1</v>
      </c>
      <c r="F53" s="292" t="s">
        <v>26</v>
      </c>
      <c r="G53" s="295" t="s">
        <v>395</v>
      </c>
      <c r="H53" s="306" t="s">
        <v>258</v>
      </c>
      <c r="I53" s="306"/>
      <c r="J53" s="297"/>
      <c r="K53" s="395">
        <v>50000</v>
      </c>
      <c r="L53" s="302" t="s">
        <v>87</v>
      </c>
      <c r="M53" s="303"/>
      <c r="N53" s="300"/>
      <c r="O53" s="299"/>
      <c r="P53" s="299"/>
      <c r="Q53" s="425"/>
      <c r="R53" s="371">
        <f t="shared" ref="R53" si="2">K53</f>
        <v>50000</v>
      </c>
      <c r="S53" s="299"/>
      <c r="T53" s="301"/>
    </row>
    <row r="54" spans="1:20" ht="39" customHeight="1" x14ac:dyDescent="0.25">
      <c r="A54" s="630"/>
      <c r="B54" s="587"/>
      <c r="C54" s="575">
        <v>3.5</v>
      </c>
      <c r="D54" s="578" t="s">
        <v>259</v>
      </c>
      <c r="E54" s="294">
        <v>1</v>
      </c>
      <c r="F54" s="292" t="s">
        <v>31</v>
      </c>
      <c r="G54" s="295" t="s">
        <v>396</v>
      </c>
      <c r="H54" s="307" t="s">
        <v>260</v>
      </c>
      <c r="I54" s="307"/>
      <c r="J54" s="297"/>
      <c r="K54" s="181">
        <v>40000</v>
      </c>
      <c r="L54" s="302" t="s">
        <v>397</v>
      </c>
      <c r="M54" s="299"/>
      <c r="N54" s="300"/>
      <c r="O54" s="299"/>
      <c r="P54" s="299"/>
      <c r="Q54" s="299"/>
      <c r="R54" s="299"/>
      <c r="S54" s="371">
        <f>K54</f>
        <v>40000</v>
      </c>
      <c r="T54" s="301"/>
    </row>
    <row r="55" spans="1:20" ht="33" customHeight="1" x14ac:dyDescent="0.25">
      <c r="A55" s="630"/>
      <c r="B55" s="587"/>
      <c r="C55" s="576"/>
      <c r="D55" s="579"/>
      <c r="E55" s="294">
        <v>1</v>
      </c>
      <c r="F55" s="292" t="s">
        <v>31</v>
      </c>
      <c r="G55" s="295" t="s">
        <v>398</v>
      </c>
      <c r="H55" s="307" t="s">
        <v>261</v>
      </c>
      <c r="I55" s="307"/>
      <c r="J55" s="297"/>
      <c r="K55" s="181">
        <v>20000</v>
      </c>
      <c r="L55" s="302" t="s">
        <v>399</v>
      </c>
      <c r="M55" s="299"/>
      <c r="N55" s="300"/>
      <c r="O55" s="299"/>
      <c r="P55" s="299"/>
      <c r="Q55" s="299"/>
      <c r="R55" s="299"/>
      <c r="S55" s="371">
        <f t="shared" ref="S55:S56" si="3">K55</f>
        <v>20000</v>
      </c>
      <c r="T55" s="301"/>
    </row>
    <row r="56" spans="1:20" ht="35.450000000000003" customHeight="1" x14ac:dyDescent="0.25">
      <c r="A56" s="630"/>
      <c r="B56" s="587"/>
      <c r="C56" s="577"/>
      <c r="D56" s="580"/>
      <c r="E56" s="294">
        <v>1</v>
      </c>
      <c r="F56" s="292" t="s">
        <v>31</v>
      </c>
      <c r="G56" s="295" t="s">
        <v>398</v>
      </c>
      <c r="H56" s="307" t="s">
        <v>262</v>
      </c>
      <c r="I56" s="307"/>
      <c r="J56" s="297"/>
      <c r="K56" s="181">
        <v>20000</v>
      </c>
      <c r="L56" s="302" t="s">
        <v>397</v>
      </c>
      <c r="M56" s="299"/>
      <c r="N56" s="300"/>
      <c r="O56" s="299"/>
      <c r="P56" s="299"/>
      <c r="Q56" s="299"/>
      <c r="R56" s="299"/>
      <c r="S56" s="371">
        <f t="shared" si="3"/>
        <v>20000</v>
      </c>
      <c r="T56" s="301"/>
    </row>
    <row r="57" spans="1:20" ht="30" x14ac:dyDescent="0.25">
      <c r="A57" s="630"/>
      <c r="B57" s="587"/>
      <c r="C57" s="292">
        <v>3.6</v>
      </c>
      <c r="D57" s="293" t="s">
        <v>263</v>
      </c>
      <c r="E57" s="294">
        <v>1</v>
      </c>
      <c r="F57" s="292" t="s">
        <v>31</v>
      </c>
      <c r="G57" s="295" t="s">
        <v>127</v>
      </c>
      <c r="H57" s="306" t="s">
        <v>264</v>
      </c>
      <c r="I57" s="306"/>
      <c r="J57" s="297"/>
      <c r="K57" s="181">
        <v>15000</v>
      </c>
      <c r="L57" s="302" t="s">
        <v>397</v>
      </c>
      <c r="M57" s="299"/>
      <c r="N57" s="300"/>
      <c r="O57" s="299"/>
      <c r="P57" s="299"/>
      <c r="Q57" s="299"/>
      <c r="R57" s="299"/>
      <c r="S57" s="371">
        <f>K57</f>
        <v>15000</v>
      </c>
      <c r="T57" s="301"/>
    </row>
    <row r="58" spans="1:20" ht="43.35" customHeight="1" x14ac:dyDescent="0.25">
      <c r="A58" s="630"/>
      <c r="B58" s="587"/>
      <c r="C58" s="292">
        <v>3.7</v>
      </c>
      <c r="D58" s="293" t="s">
        <v>265</v>
      </c>
      <c r="E58" s="294">
        <v>1</v>
      </c>
      <c r="F58" s="292" t="s">
        <v>31</v>
      </c>
      <c r="G58" s="295" t="s">
        <v>127</v>
      </c>
      <c r="H58" s="307" t="s">
        <v>266</v>
      </c>
      <c r="I58" s="307"/>
      <c r="J58" s="297"/>
      <c r="K58" s="181">
        <v>15000</v>
      </c>
      <c r="L58" s="302" t="s">
        <v>397</v>
      </c>
      <c r="M58" s="299"/>
      <c r="N58" s="300"/>
      <c r="O58" s="299"/>
      <c r="P58" s="299"/>
      <c r="Q58" s="299"/>
      <c r="R58" s="299"/>
      <c r="S58" s="371">
        <f>K58</f>
        <v>15000</v>
      </c>
      <c r="T58" s="301"/>
    </row>
    <row r="59" spans="1:20" ht="30" x14ac:dyDescent="0.25">
      <c r="A59" s="630"/>
      <c r="B59" s="587"/>
      <c r="C59" s="292">
        <v>3.8</v>
      </c>
      <c r="D59" s="293" t="s">
        <v>267</v>
      </c>
      <c r="E59" s="294">
        <v>1</v>
      </c>
      <c r="F59" s="292" t="s">
        <v>31</v>
      </c>
      <c r="G59" s="295" t="s">
        <v>396</v>
      </c>
      <c r="H59" s="307" t="s">
        <v>268</v>
      </c>
      <c r="I59" s="307"/>
      <c r="J59" s="297"/>
      <c r="K59" s="181">
        <v>30000</v>
      </c>
      <c r="L59" s="302" t="s">
        <v>380</v>
      </c>
      <c r="M59" s="299"/>
      <c r="N59" s="300"/>
      <c r="O59" s="299"/>
      <c r="P59" s="299"/>
      <c r="Q59" s="299"/>
      <c r="R59" s="299"/>
      <c r="S59" s="299"/>
      <c r="T59" s="407">
        <f>K59</f>
        <v>30000</v>
      </c>
    </row>
    <row r="60" spans="1:20" x14ac:dyDescent="0.25">
      <c r="A60" s="630"/>
      <c r="B60" s="587"/>
      <c r="C60" s="292">
        <v>3.9</v>
      </c>
      <c r="D60" s="293" t="s">
        <v>269</v>
      </c>
      <c r="E60" s="294">
        <v>2</v>
      </c>
      <c r="F60" s="292" t="s">
        <v>31</v>
      </c>
      <c r="G60" s="483" t="s">
        <v>400</v>
      </c>
      <c r="H60" s="308" t="s">
        <v>271</v>
      </c>
      <c r="I60" s="440"/>
      <c r="J60" s="297"/>
      <c r="K60" s="215">
        <v>30000</v>
      </c>
      <c r="L60" s="298" t="s">
        <v>95</v>
      </c>
      <c r="M60" s="299"/>
      <c r="N60" s="300"/>
      <c r="O60" s="299"/>
      <c r="P60" s="299"/>
      <c r="Q60" s="299"/>
      <c r="R60" s="299"/>
      <c r="S60" s="299">
        <f>K60</f>
        <v>30000</v>
      </c>
      <c r="T60" s="301"/>
    </row>
    <row r="61" spans="1:20" x14ac:dyDescent="0.25">
      <c r="A61" s="630"/>
      <c r="B61" s="587"/>
      <c r="C61" s="309">
        <v>3.1</v>
      </c>
      <c r="D61" s="293" t="s">
        <v>272</v>
      </c>
      <c r="E61" s="294">
        <v>2</v>
      </c>
      <c r="F61" s="292" t="s">
        <v>31</v>
      </c>
      <c r="G61" s="295" t="s">
        <v>270</v>
      </c>
      <c r="H61" s="308" t="s">
        <v>273</v>
      </c>
      <c r="I61" s="440"/>
      <c r="J61" s="297"/>
      <c r="K61" s="395">
        <f>350000-(39800*2)-85000+4706</f>
        <v>190106</v>
      </c>
      <c r="L61" s="298" t="s">
        <v>129</v>
      </c>
      <c r="M61" s="299"/>
      <c r="N61" s="300"/>
      <c r="O61" s="299"/>
      <c r="P61" s="299"/>
      <c r="Q61" s="299"/>
      <c r="R61" s="299"/>
      <c r="S61" s="299"/>
      <c r="T61" s="301">
        <f>K61-4706</f>
        <v>185400</v>
      </c>
    </row>
    <row r="62" spans="1:20" ht="29.1" customHeight="1" x14ac:dyDescent="0.25">
      <c r="A62" s="630"/>
      <c r="B62" s="587"/>
      <c r="C62" s="596">
        <v>3.11</v>
      </c>
      <c r="D62" s="578" t="s">
        <v>401</v>
      </c>
      <c r="E62" s="294">
        <v>2</v>
      </c>
      <c r="F62" s="292" t="s">
        <v>31</v>
      </c>
      <c r="G62" s="295" t="s">
        <v>396</v>
      </c>
      <c r="H62" s="293" t="s">
        <v>402</v>
      </c>
      <c r="I62" s="306"/>
      <c r="J62" s="297"/>
      <c r="K62" s="215">
        <v>65000</v>
      </c>
      <c r="L62" s="298" t="s">
        <v>129</v>
      </c>
      <c r="M62" s="299"/>
      <c r="N62" s="300"/>
      <c r="O62" s="299"/>
      <c r="P62" s="299"/>
      <c r="Q62" s="299"/>
      <c r="R62" s="299"/>
      <c r="S62" s="299"/>
      <c r="T62" s="301">
        <f>K62-M62</f>
        <v>65000</v>
      </c>
    </row>
    <row r="63" spans="1:20" x14ac:dyDescent="0.25">
      <c r="A63" s="630"/>
      <c r="B63" s="588"/>
      <c r="C63" s="597"/>
      <c r="D63" s="580"/>
      <c r="E63" s="294">
        <v>2</v>
      </c>
      <c r="F63" s="292" t="s">
        <v>31</v>
      </c>
      <c r="G63" s="417" t="s">
        <v>403</v>
      </c>
      <c r="H63" s="421" t="s">
        <v>404</v>
      </c>
      <c r="I63" s="464"/>
      <c r="J63" s="464"/>
      <c r="K63" s="395">
        <v>100000</v>
      </c>
      <c r="L63" s="510" t="s">
        <v>129</v>
      </c>
      <c r="M63" s="303"/>
      <c r="N63" s="300"/>
      <c r="O63" s="299"/>
      <c r="P63" s="299"/>
      <c r="Q63" s="299"/>
      <c r="R63" s="299"/>
      <c r="S63" s="299"/>
      <c r="T63" s="424">
        <v>100000</v>
      </c>
    </row>
    <row r="64" spans="1:20" ht="15" customHeight="1" x14ac:dyDescent="0.25">
      <c r="A64" s="630"/>
      <c r="B64" s="598" t="s">
        <v>276</v>
      </c>
      <c r="C64" s="569" t="s">
        <v>405</v>
      </c>
      <c r="D64" s="570"/>
      <c r="E64" s="570"/>
      <c r="F64" s="570"/>
      <c r="G64" s="570"/>
      <c r="H64" s="571"/>
      <c r="I64" s="450">
        <v>200000</v>
      </c>
      <c r="J64" s="450"/>
      <c r="K64" s="215"/>
      <c r="L64" s="302"/>
      <c r="M64" s="303"/>
      <c r="N64" s="300"/>
      <c r="O64" s="299"/>
      <c r="P64" s="299"/>
      <c r="Q64" s="299"/>
      <c r="R64" s="299"/>
      <c r="S64" s="299"/>
      <c r="T64" s="301"/>
    </row>
    <row r="65" spans="1:23" ht="15" customHeight="1" x14ac:dyDescent="0.25">
      <c r="A65" s="630"/>
      <c r="B65" s="599"/>
      <c r="C65" s="593" t="s">
        <v>136</v>
      </c>
      <c r="D65" s="594"/>
      <c r="E65" s="594"/>
      <c r="F65" s="594"/>
      <c r="G65" s="594"/>
      <c r="H65" s="595"/>
      <c r="I65" s="450">
        <v>50000</v>
      </c>
      <c r="J65" s="450"/>
      <c r="K65" s="215"/>
      <c r="L65" s="314"/>
      <c r="M65" s="315"/>
      <c r="N65" s="300"/>
      <c r="O65" s="299"/>
      <c r="P65" s="299"/>
      <c r="Q65" s="299"/>
      <c r="R65" s="299"/>
      <c r="S65" s="299"/>
      <c r="T65" s="301"/>
      <c r="U65" s="437"/>
    </row>
    <row r="66" spans="1:23" ht="15" customHeight="1" x14ac:dyDescent="0.25">
      <c r="A66" s="630"/>
      <c r="B66" s="599"/>
      <c r="C66" s="593" t="s">
        <v>406</v>
      </c>
      <c r="D66" s="594"/>
      <c r="E66" s="594"/>
      <c r="F66" s="594"/>
      <c r="G66" s="594"/>
      <c r="H66" s="595"/>
      <c r="I66" s="465">
        <f>18480+27216</f>
        <v>45696</v>
      </c>
      <c r="J66" s="465">
        <f>18480+27216</f>
        <v>45696</v>
      </c>
      <c r="K66" s="215"/>
      <c r="L66" s="314"/>
      <c r="M66" s="315"/>
      <c r="N66" s="300"/>
      <c r="O66" s="299"/>
      <c r="P66" s="299"/>
      <c r="Q66" s="299"/>
      <c r="R66" s="299"/>
      <c r="S66" s="299"/>
      <c r="T66" s="301"/>
      <c r="U66" s="437">
        <v>1864.12</v>
      </c>
    </row>
    <row r="67" spans="1:23" ht="15" customHeight="1" x14ac:dyDescent="0.25">
      <c r="A67" s="630"/>
      <c r="B67" s="599"/>
      <c r="C67" s="311"/>
      <c r="D67" s="312"/>
      <c r="E67" s="312"/>
      <c r="F67" s="312"/>
      <c r="G67" s="594" t="s">
        <v>407</v>
      </c>
      <c r="H67" s="595"/>
      <c r="I67" s="466">
        <v>30000</v>
      </c>
      <c r="J67" s="466">
        <v>30000</v>
      </c>
      <c r="K67" s="215"/>
      <c r="L67" s="314"/>
      <c r="M67" s="315"/>
      <c r="N67" s="300"/>
      <c r="O67" s="299"/>
      <c r="P67" s="299"/>
      <c r="Q67" s="299"/>
      <c r="R67" s="299"/>
      <c r="S67" s="299"/>
      <c r="T67" s="301"/>
      <c r="U67" s="437">
        <v>30000</v>
      </c>
    </row>
    <row r="68" spans="1:23" ht="15" customHeight="1" x14ac:dyDescent="0.25">
      <c r="A68" s="630"/>
      <c r="B68" s="599"/>
      <c r="C68" s="593" t="s">
        <v>408</v>
      </c>
      <c r="D68" s="594"/>
      <c r="E68" s="594"/>
      <c r="F68" s="594"/>
      <c r="G68" s="594"/>
      <c r="H68" s="595"/>
      <c r="I68" s="467">
        <v>88165</v>
      </c>
      <c r="J68" s="467">
        <f>48504.75+31288.08</f>
        <v>79792.83</v>
      </c>
      <c r="K68" s="215"/>
      <c r="L68" s="314"/>
      <c r="M68" s="315"/>
      <c r="N68" s="300"/>
      <c r="O68" s="299"/>
      <c r="P68" s="299"/>
      <c r="Q68" s="299"/>
      <c r="R68" s="299"/>
      <c r="S68" s="299"/>
      <c r="T68" s="301"/>
      <c r="U68" s="437">
        <f>J68</f>
        <v>79792.83</v>
      </c>
    </row>
    <row r="69" spans="1:23" ht="15" customHeight="1" x14ac:dyDescent="0.25">
      <c r="A69" s="630"/>
      <c r="B69" s="599"/>
      <c r="C69" s="311"/>
      <c r="D69" s="312"/>
      <c r="E69" s="312"/>
      <c r="F69" s="312"/>
      <c r="G69" s="594" t="s">
        <v>409</v>
      </c>
      <c r="H69" s="595"/>
      <c r="I69" s="467">
        <v>55000</v>
      </c>
      <c r="J69" s="467">
        <v>55000</v>
      </c>
      <c r="K69" s="215"/>
      <c r="L69" s="314"/>
      <c r="M69" s="315"/>
      <c r="N69" s="300"/>
      <c r="O69" s="299"/>
      <c r="P69" s="299"/>
      <c r="Q69" s="299"/>
      <c r="R69" s="299"/>
      <c r="S69" s="299"/>
      <c r="T69" s="301"/>
      <c r="U69" s="437"/>
    </row>
    <row r="70" spans="1:23" ht="15" customHeight="1" x14ac:dyDescent="0.25">
      <c r="A70" s="630"/>
      <c r="B70" s="599"/>
      <c r="C70" s="593" t="s">
        <v>410</v>
      </c>
      <c r="D70" s="594"/>
      <c r="E70" s="594"/>
      <c r="F70" s="594"/>
      <c r="G70" s="594"/>
      <c r="H70" s="595"/>
      <c r="I70" s="465">
        <v>10000</v>
      </c>
      <c r="J70" s="467">
        <v>10000</v>
      </c>
      <c r="K70" s="215"/>
      <c r="L70" s="314"/>
      <c r="M70" s="315"/>
      <c r="N70" s="300"/>
      <c r="O70" s="299"/>
      <c r="P70" s="299"/>
      <c r="Q70" s="299"/>
      <c r="R70" s="299"/>
      <c r="S70" s="299"/>
      <c r="T70" s="301"/>
      <c r="U70" s="437"/>
    </row>
    <row r="71" spans="1:23" ht="15" customHeight="1" x14ac:dyDescent="0.25">
      <c r="A71" s="630"/>
      <c r="B71" s="599"/>
      <c r="C71" s="311"/>
      <c r="D71" s="312"/>
      <c r="E71" s="312"/>
      <c r="F71" s="312"/>
      <c r="G71" s="312"/>
      <c r="H71" s="313" t="s">
        <v>411</v>
      </c>
      <c r="I71" s="467">
        <v>26000</v>
      </c>
      <c r="J71" s="467">
        <v>24000</v>
      </c>
      <c r="K71" s="215"/>
      <c r="L71" s="314"/>
      <c r="M71" s="315"/>
      <c r="N71" s="300"/>
      <c r="O71" s="299"/>
      <c r="P71" s="299"/>
      <c r="Q71" s="299"/>
      <c r="R71" s="299"/>
      <c r="S71" s="299"/>
      <c r="T71" s="301"/>
      <c r="U71" s="437">
        <v>14711.952973720608</v>
      </c>
    </row>
    <row r="72" spans="1:23" ht="15" customHeight="1" x14ac:dyDescent="0.25">
      <c r="A72" s="630"/>
      <c r="B72" s="599"/>
      <c r="C72" s="593" t="s">
        <v>285</v>
      </c>
      <c r="D72" s="594"/>
      <c r="E72" s="594"/>
      <c r="F72" s="594"/>
      <c r="G72" s="594"/>
      <c r="H72" s="595"/>
      <c r="I72" s="467">
        <v>20000</v>
      </c>
      <c r="J72" s="467"/>
      <c r="K72" s="215"/>
      <c r="L72" s="484"/>
      <c r="M72" s="315"/>
      <c r="N72" s="300"/>
      <c r="O72" s="299"/>
      <c r="P72" s="299"/>
      <c r="Q72" s="299"/>
      <c r="R72" s="299"/>
      <c r="S72" s="299"/>
      <c r="T72" s="301"/>
      <c r="U72" s="437"/>
    </row>
    <row r="73" spans="1:23" ht="15" customHeight="1" x14ac:dyDescent="0.25">
      <c r="A73" s="630"/>
      <c r="B73" s="599"/>
      <c r="C73" s="311"/>
      <c r="D73" s="312"/>
      <c r="E73" s="312"/>
      <c r="F73" s="312"/>
      <c r="G73" s="637" t="s">
        <v>412</v>
      </c>
      <c r="H73" s="638"/>
      <c r="I73" s="465">
        <v>17400</v>
      </c>
      <c r="J73" s="465">
        <v>17400</v>
      </c>
      <c r="K73" s="215"/>
      <c r="L73" s="484"/>
      <c r="M73" s="315"/>
      <c r="N73" s="300"/>
      <c r="O73" s="299"/>
      <c r="P73" s="299"/>
      <c r="Q73" s="299"/>
      <c r="R73" s="299"/>
      <c r="S73" s="299"/>
      <c r="T73" s="301"/>
      <c r="U73" s="437">
        <v>47225</v>
      </c>
      <c r="V73" s="49"/>
    </row>
    <row r="74" spans="1:23" ht="15" customHeight="1" x14ac:dyDescent="0.25">
      <c r="A74" s="630"/>
      <c r="B74" s="599"/>
      <c r="C74" s="593" t="s">
        <v>146</v>
      </c>
      <c r="D74" s="594"/>
      <c r="E74" s="594"/>
      <c r="F74" s="594"/>
      <c r="G74" s="594"/>
      <c r="H74" s="595"/>
      <c r="I74" s="450">
        <f>88000+19500</f>
        <v>107500</v>
      </c>
      <c r="J74" s="450">
        <v>20000</v>
      </c>
      <c r="K74" s="215"/>
      <c r="L74" s="484"/>
      <c r="M74" s="315"/>
      <c r="N74" s="300"/>
      <c r="O74" s="299"/>
      <c r="P74" s="299"/>
      <c r="Q74" s="299"/>
      <c r="R74" s="299"/>
      <c r="S74" s="299"/>
      <c r="T74" s="301"/>
    </row>
    <row r="75" spans="1:23" ht="15" customHeight="1" x14ac:dyDescent="0.25">
      <c r="A75" s="631"/>
      <c r="B75" s="600"/>
      <c r="C75" s="311"/>
      <c r="D75" s="312"/>
      <c r="E75" s="312"/>
      <c r="F75" s="312"/>
      <c r="G75" s="312"/>
      <c r="H75" s="474" t="s">
        <v>413</v>
      </c>
      <c r="I75" s="449">
        <v>222000</v>
      </c>
      <c r="J75" s="450"/>
      <c r="K75" s="215"/>
      <c r="L75" s="485"/>
      <c r="M75" s="317"/>
      <c r="N75" s="300"/>
      <c r="O75" s="299"/>
      <c r="P75" s="299"/>
      <c r="Q75" s="299"/>
      <c r="R75" s="299"/>
      <c r="S75" s="299"/>
      <c r="T75" s="301"/>
    </row>
    <row r="76" spans="1:23" x14ac:dyDescent="0.25">
      <c r="A76" s="365"/>
      <c r="B76" s="488"/>
      <c r="C76" s="489"/>
      <c r="D76" s="489"/>
      <c r="E76" s="489"/>
      <c r="F76" s="489"/>
      <c r="G76" s="489"/>
      <c r="H76" s="415" t="s">
        <v>286</v>
      </c>
      <c r="I76" s="468">
        <f>SUM(I46:I74)</f>
        <v>650876</v>
      </c>
      <c r="J76" s="468">
        <f>SUM(J46:J74)</f>
        <v>283003.83</v>
      </c>
      <c r="K76" s="36">
        <f>SUM(K46:K63)</f>
        <v>800000</v>
      </c>
      <c r="L76" s="290" t="s">
        <v>287</v>
      </c>
      <c r="M76" s="223">
        <f>SUM(M46:M74)</f>
        <v>0</v>
      </c>
      <c r="N76" s="223">
        <f t="shared" ref="N76:V76" si="4">SUM(N46:N74)</f>
        <v>0</v>
      </c>
      <c r="O76" s="194">
        <f t="shared" si="4"/>
        <v>15600</v>
      </c>
      <c r="P76" s="194">
        <f t="shared" si="4"/>
        <v>0</v>
      </c>
      <c r="Q76" s="218">
        <f t="shared" si="4"/>
        <v>79706.149999999994</v>
      </c>
      <c r="R76" s="194">
        <f t="shared" si="4"/>
        <v>184294</v>
      </c>
      <c r="S76" s="194">
        <f>SUM(S46:S74)</f>
        <v>140000</v>
      </c>
      <c r="T76" s="226">
        <f t="shared" si="4"/>
        <v>380400</v>
      </c>
      <c r="U76" s="494">
        <f>SUM(U46:U75)</f>
        <v>174708.90297372063</v>
      </c>
      <c r="V76" s="427">
        <f t="shared" si="4"/>
        <v>21300</v>
      </c>
      <c r="W76" s="519">
        <f>SUM(M76:R76)/K76</f>
        <v>0.3495001875</v>
      </c>
    </row>
    <row r="77" spans="1:23" ht="30" x14ac:dyDescent="0.25">
      <c r="A77" s="632">
        <v>4</v>
      </c>
      <c r="B77" s="639" t="s">
        <v>148</v>
      </c>
      <c r="C77" s="262">
        <v>4.0999999999999996</v>
      </c>
      <c r="D77" s="263" t="s">
        <v>288</v>
      </c>
      <c r="E77" s="264">
        <v>1</v>
      </c>
      <c r="F77" s="262" t="s">
        <v>18</v>
      </c>
      <c r="G77" s="265" t="s">
        <v>289</v>
      </c>
      <c r="H77" s="266" t="s">
        <v>290</v>
      </c>
      <c r="I77" s="406">
        <v>2295.13</v>
      </c>
      <c r="J77" s="406">
        <v>2295.13</v>
      </c>
      <c r="K77" s="404">
        <f>36920</f>
        <v>36920</v>
      </c>
      <c r="L77" s="269" t="s">
        <v>28</v>
      </c>
      <c r="M77" s="270"/>
      <c r="N77" s="271"/>
      <c r="O77" s="405">
        <v>36920</v>
      </c>
      <c r="P77" s="270"/>
      <c r="Q77" s="270"/>
      <c r="R77" s="270"/>
      <c r="S77" s="270"/>
      <c r="T77" s="272"/>
      <c r="U77" s="49">
        <f>J77</f>
        <v>2295.13</v>
      </c>
      <c r="V77" s="49">
        <f>O77</f>
        <v>36920</v>
      </c>
    </row>
    <row r="78" spans="1:23" ht="30" x14ac:dyDescent="0.25">
      <c r="A78" s="633"/>
      <c r="B78" s="639"/>
      <c r="C78" s="601">
        <v>4.2</v>
      </c>
      <c r="D78" s="603" t="s">
        <v>292</v>
      </c>
      <c r="E78" s="264">
        <v>1</v>
      </c>
      <c r="F78" s="262" t="s">
        <v>66</v>
      </c>
      <c r="G78" s="265" t="s">
        <v>157</v>
      </c>
      <c r="H78" s="263" t="s">
        <v>293</v>
      </c>
      <c r="I78" s="441"/>
      <c r="J78" s="273"/>
      <c r="K78" s="268">
        <v>24950</v>
      </c>
      <c r="L78" s="269" t="s">
        <v>414</v>
      </c>
      <c r="M78" s="274"/>
      <c r="N78" s="271"/>
      <c r="O78" s="270"/>
      <c r="P78" s="270"/>
      <c r="Q78" s="270"/>
      <c r="R78" s="270"/>
      <c r="S78" s="371">
        <f>K78</f>
        <v>24950</v>
      </c>
      <c r="T78" s="272"/>
    </row>
    <row r="79" spans="1:23" ht="45" x14ac:dyDescent="0.25">
      <c r="A79" s="633"/>
      <c r="B79" s="639"/>
      <c r="C79" s="640"/>
      <c r="D79" s="641"/>
      <c r="E79" s="264">
        <v>1</v>
      </c>
      <c r="F79" s="262" t="s">
        <v>73</v>
      </c>
      <c r="G79" s="265" t="s">
        <v>157</v>
      </c>
      <c r="H79" s="263" t="s">
        <v>294</v>
      </c>
      <c r="I79" s="441"/>
      <c r="J79" s="273"/>
      <c r="K79" s="268">
        <v>23900</v>
      </c>
      <c r="L79" s="269" t="s">
        <v>369</v>
      </c>
      <c r="M79" s="274"/>
      <c r="N79" s="271"/>
      <c r="O79" s="270"/>
      <c r="P79" s="270"/>
      <c r="Q79" s="270"/>
      <c r="R79" s="270">
        <v>23900</v>
      </c>
      <c r="S79" s="371"/>
      <c r="T79" s="272"/>
    </row>
    <row r="80" spans="1:23" ht="45" x14ac:dyDescent="0.25">
      <c r="A80" s="633"/>
      <c r="B80" s="639"/>
      <c r="C80" s="640"/>
      <c r="D80" s="641"/>
      <c r="E80" s="264">
        <v>1</v>
      </c>
      <c r="F80" s="262" t="s">
        <v>73</v>
      </c>
      <c r="G80" s="265" t="s">
        <v>157</v>
      </c>
      <c r="H80" s="263" t="s">
        <v>295</v>
      </c>
      <c r="I80" s="441"/>
      <c r="J80" s="267"/>
      <c r="K80" s="404">
        <v>28149.62</v>
      </c>
      <c r="L80" s="269" t="s">
        <v>33</v>
      </c>
      <c r="M80" s="270"/>
      <c r="N80" s="271"/>
      <c r="O80" s="270"/>
      <c r="P80" s="270"/>
      <c r="Q80" s="371">
        <f>K80</f>
        <v>28149.62</v>
      </c>
      <c r="R80" s="270"/>
      <c r="S80" s="270"/>
      <c r="T80" s="272"/>
    </row>
    <row r="81" spans="1:21" ht="30" x14ac:dyDescent="0.25">
      <c r="A81" s="633"/>
      <c r="B81" s="639"/>
      <c r="C81" s="640"/>
      <c r="D81" s="641"/>
      <c r="E81" s="264">
        <v>1</v>
      </c>
      <c r="F81" s="262" t="s">
        <v>415</v>
      </c>
      <c r="G81" s="265" t="s">
        <v>296</v>
      </c>
      <c r="H81" s="441" t="s">
        <v>416</v>
      </c>
      <c r="I81" s="441"/>
      <c r="J81" s="267"/>
      <c r="K81" s="404">
        <v>32568</v>
      </c>
      <c r="L81" s="269" t="s">
        <v>33</v>
      </c>
      <c r="M81" s="270"/>
      <c r="N81" s="271"/>
      <c r="O81" s="270"/>
      <c r="P81" s="270"/>
      <c r="Q81" s="490">
        <f>K81</f>
        <v>32568</v>
      </c>
      <c r="R81" s="270"/>
      <c r="S81" s="270"/>
      <c r="T81" s="272"/>
    </row>
    <row r="82" spans="1:21" ht="30" x14ac:dyDescent="0.25">
      <c r="A82" s="633"/>
      <c r="B82" s="639"/>
      <c r="C82" s="640"/>
      <c r="D82" s="604"/>
      <c r="E82" s="264">
        <v>1</v>
      </c>
      <c r="F82" s="262" t="s">
        <v>73</v>
      </c>
      <c r="G82" s="265" t="s">
        <v>296</v>
      </c>
      <c r="H82" s="266" t="s">
        <v>417</v>
      </c>
      <c r="I82" s="266"/>
      <c r="J82" s="267"/>
      <c r="K82" s="404">
        <f>68434-K81</f>
        <v>35866</v>
      </c>
      <c r="L82" s="269" t="s">
        <v>369</v>
      </c>
      <c r="M82" s="270"/>
      <c r="N82" s="271"/>
      <c r="O82" s="270"/>
      <c r="P82" s="270"/>
      <c r="Q82" s="405"/>
      <c r="R82" s="408">
        <f>K82</f>
        <v>35866</v>
      </c>
      <c r="S82" s="270"/>
      <c r="T82" s="272"/>
    </row>
    <row r="83" spans="1:21" ht="30" x14ac:dyDescent="0.25">
      <c r="A83" s="633"/>
      <c r="B83" s="639"/>
      <c r="C83" s="601">
        <v>4.3</v>
      </c>
      <c r="D83" s="603" t="s">
        <v>298</v>
      </c>
      <c r="E83" s="627">
        <v>1</v>
      </c>
      <c r="F83" s="262" t="s">
        <v>31</v>
      </c>
      <c r="G83" s="265" t="s">
        <v>157</v>
      </c>
      <c r="H83" s="266" t="s">
        <v>418</v>
      </c>
      <c r="I83" s="266"/>
      <c r="J83" s="267"/>
      <c r="K83" s="404">
        <v>24850</v>
      </c>
      <c r="L83" s="269" t="s">
        <v>419</v>
      </c>
      <c r="M83" s="270"/>
      <c r="N83" s="271"/>
      <c r="O83" s="270"/>
      <c r="P83" s="270"/>
      <c r="Q83" s="270"/>
      <c r="R83" s="408">
        <f>K83</f>
        <v>24850</v>
      </c>
      <c r="S83" s="270"/>
      <c r="T83" s="272"/>
    </row>
    <row r="84" spans="1:21" ht="30" x14ac:dyDescent="0.25">
      <c r="A84" s="633"/>
      <c r="B84" s="639"/>
      <c r="C84" s="602"/>
      <c r="D84" s="604"/>
      <c r="E84" s="628"/>
      <c r="F84" s="262" t="s">
        <v>31</v>
      </c>
      <c r="G84" s="265" t="s">
        <v>157</v>
      </c>
      <c r="H84" s="409" t="s">
        <v>420</v>
      </c>
      <c r="I84" s="409"/>
      <c r="J84" s="267"/>
      <c r="K84" s="404">
        <v>24850</v>
      </c>
      <c r="L84" s="269" t="s">
        <v>414</v>
      </c>
      <c r="M84" s="270"/>
      <c r="N84" s="271"/>
      <c r="O84" s="270"/>
      <c r="P84" s="270"/>
      <c r="Q84" s="270"/>
      <c r="R84" s="270"/>
      <c r="S84" s="408">
        <f>K84</f>
        <v>24850</v>
      </c>
      <c r="T84" s="272"/>
    </row>
    <row r="85" spans="1:21" ht="25.5" customHeight="1" x14ac:dyDescent="0.25">
      <c r="A85" s="633"/>
      <c r="B85" s="639"/>
      <c r="C85" s="262">
        <v>4.4000000000000004</v>
      </c>
      <c r="D85" s="263" t="s">
        <v>300</v>
      </c>
      <c r="E85" s="264">
        <v>1</v>
      </c>
      <c r="F85" s="262" t="s">
        <v>31</v>
      </c>
      <c r="G85" s="265" t="s">
        <v>157</v>
      </c>
      <c r="H85" s="266" t="s">
        <v>301</v>
      </c>
      <c r="I85" s="266"/>
      <c r="J85" s="267"/>
      <c r="K85" s="268">
        <v>36900</v>
      </c>
      <c r="L85" s="269" t="s">
        <v>414</v>
      </c>
      <c r="M85" s="270"/>
      <c r="N85" s="271"/>
      <c r="O85" s="270"/>
      <c r="P85" s="270"/>
      <c r="Q85" s="270"/>
      <c r="R85" s="270"/>
      <c r="S85" s="371">
        <f>K85</f>
        <v>36900</v>
      </c>
      <c r="T85" s="272"/>
    </row>
    <row r="86" spans="1:21" ht="30" x14ac:dyDescent="0.25">
      <c r="A86" s="633"/>
      <c r="B86" s="639"/>
      <c r="C86" s="601">
        <v>4.5</v>
      </c>
      <c r="D86" s="603" t="s">
        <v>302</v>
      </c>
      <c r="E86" s="627">
        <v>1</v>
      </c>
      <c r="F86" s="262" t="s">
        <v>31</v>
      </c>
      <c r="G86" s="265" t="s">
        <v>157</v>
      </c>
      <c r="H86" s="266" t="s">
        <v>421</v>
      </c>
      <c r="I86" s="266"/>
      <c r="J86" s="267"/>
      <c r="K86" s="404">
        <v>34624.239999999998</v>
      </c>
      <c r="L86" s="269" t="s">
        <v>422</v>
      </c>
      <c r="M86" s="270"/>
      <c r="N86" s="271"/>
      <c r="O86" s="270"/>
      <c r="P86" s="270"/>
      <c r="Q86" s="408">
        <f>K86</f>
        <v>34624.239999999998</v>
      </c>
      <c r="R86" s="270"/>
      <c r="S86" s="270"/>
      <c r="T86" s="272"/>
    </row>
    <row r="87" spans="1:21" ht="30" x14ac:dyDescent="0.25">
      <c r="A87" s="633"/>
      <c r="B87" s="639"/>
      <c r="C87" s="602"/>
      <c r="D87" s="604"/>
      <c r="E87" s="628"/>
      <c r="F87" s="262" t="s">
        <v>31</v>
      </c>
      <c r="G87" s="265" t="s">
        <v>157</v>
      </c>
      <c r="H87" s="409" t="s">
        <v>423</v>
      </c>
      <c r="I87" s="409"/>
      <c r="J87" s="267"/>
      <c r="K87" s="404">
        <v>32725</v>
      </c>
      <c r="L87" s="269" t="s">
        <v>414</v>
      </c>
      <c r="M87" s="270"/>
      <c r="N87" s="271"/>
      <c r="O87" s="270"/>
      <c r="P87" s="270"/>
      <c r="Q87" s="270"/>
      <c r="R87" s="270"/>
      <c r="S87" s="371">
        <f>K87</f>
        <v>32725</v>
      </c>
      <c r="T87" s="272"/>
    </row>
    <row r="88" spans="1:21" ht="30" x14ac:dyDescent="0.25">
      <c r="A88" s="633"/>
      <c r="B88" s="639"/>
      <c r="C88" s="601">
        <v>4.5999999999999996</v>
      </c>
      <c r="D88" s="603" t="s">
        <v>304</v>
      </c>
      <c r="E88" s="627">
        <v>1</v>
      </c>
      <c r="F88" s="262" t="s">
        <v>31</v>
      </c>
      <c r="G88" s="265" t="s">
        <v>157</v>
      </c>
      <c r="H88" s="266" t="s">
        <v>424</v>
      </c>
      <c r="I88" s="266"/>
      <c r="J88" s="267"/>
      <c r="K88" s="404">
        <v>25499.24</v>
      </c>
      <c r="L88" s="269" t="s">
        <v>425</v>
      </c>
      <c r="M88" s="270"/>
      <c r="N88" s="271"/>
      <c r="O88" s="270"/>
      <c r="P88" s="270"/>
      <c r="Q88" s="408">
        <f>K88</f>
        <v>25499.24</v>
      </c>
      <c r="R88" s="270"/>
      <c r="S88" s="270"/>
      <c r="T88" s="272"/>
    </row>
    <row r="89" spans="1:21" ht="30" x14ac:dyDescent="0.25">
      <c r="A89" s="633"/>
      <c r="B89" s="639"/>
      <c r="C89" s="602"/>
      <c r="D89" s="604"/>
      <c r="E89" s="628"/>
      <c r="F89" s="262" t="s">
        <v>31</v>
      </c>
      <c r="G89" s="265" t="s">
        <v>157</v>
      </c>
      <c r="H89" s="409" t="s">
        <v>426</v>
      </c>
      <c r="I89" s="409"/>
      <c r="J89" s="267"/>
      <c r="K89" s="404">
        <v>23600</v>
      </c>
      <c r="L89" s="269" t="s">
        <v>427</v>
      </c>
      <c r="M89" s="270"/>
      <c r="N89" s="271"/>
      <c r="O89" s="270"/>
      <c r="P89" s="270"/>
      <c r="Q89" s="270"/>
      <c r="R89" s="270"/>
      <c r="S89" s="408">
        <f>K89</f>
        <v>23600</v>
      </c>
      <c r="T89" s="272"/>
    </row>
    <row r="90" spans="1:21" x14ac:dyDescent="0.25">
      <c r="A90" s="633"/>
      <c r="B90" s="639"/>
      <c r="C90" s="262">
        <v>4.7</v>
      </c>
      <c r="D90" s="263" t="s">
        <v>306</v>
      </c>
      <c r="E90" s="264">
        <v>1</v>
      </c>
      <c r="F90" s="262" t="s">
        <v>73</v>
      </c>
      <c r="G90" s="265" t="s">
        <v>74</v>
      </c>
      <c r="H90" s="266" t="s">
        <v>308</v>
      </c>
      <c r="I90" s="266"/>
      <c r="J90" s="267"/>
      <c r="K90" s="268">
        <v>80000</v>
      </c>
      <c r="L90" s="269" t="s">
        <v>87</v>
      </c>
      <c r="M90" s="270"/>
      <c r="N90" s="271"/>
      <c r="O90" s="270"/>
      <c r="P90" s="270"/>
      <c r="Q90" s="270"/>
      <c r="R90" s="270"/>
      <c r="S90" s="270">
        <v>80000</v>
      </c>
      <c r="T90" s="272"/>
    </row>
    <row r="91" spans="1:21" ht="45" x14ac:dyDescent="0.25">
      <c r="A91" s="633"/>
      <c r="B91" s="639"/>
      <c r="C91" s="417">
        <v>4.8</v>
      </c>
      <c r="D91" s="418" t="s">
        <v>428</v>
      </c>
      <c r="E91" s="264">
        <v>1</v>
      </c>
      <c r="F91" s="262" t="s">
        <v>73</v>
      </c>
      <c r="G91" s="265" t="s">
        <v>157</v>
      </c>
      <c r="H91" s="469" t="s">
        <v>429</v>
      </c>
      <c r="I91" s="266"/>
      <c r="J91" s="267"/>
      <c r="K91" s="402">
        <v>18650</v>
      </c>
      <c r="L91" s="386" t="s">
        <v>87</v>
      </c>
      <c r="M91" s="270"/>
      <c r="N91" s="271"/>
      <c r="O91" s="270"/>
      <c r="P91" s="270"/>
      <c r="Q91" s="270"/>
      <c r="R91" s="270">
        <v>18650</v>
      </c>
      <c r="S91" s="371">
        <v>18650</v>
      </c>
      <c r="T91" s="272"/>
    </row>
    <row r="92" spans="1:21" x14ac:dyDescent="0.25">
      <c r="A92" s="633"/>
      <c r="B92" s="639"/>
      <c r="C92" s="262">
        <v>4.9000000000000004</v>
      </c>
      <c r="D92" s="277" t="s">
        <v>161</v>
      </c>
      <c r="E92" s="264">
        <v>2</v>
      </c>
      <c r="F92" s="262" t="s">
        <v>31</v>
      </c>
      <c r="G92" s="486" t="s">
        <v>430</v>
      </c>
      <c r="H92" s="266" t="s">
        <v>431</v>
      </c>
      <c r="I92" s="266"/>
      <c r="J92" s="267"/>
      <c r="K92" s="268">
        <v>19600</v>
      </c>
      <c r="L92" s="269" t="s">
        <v>414</v>
      </c>
      <c r="M92" s="270"/>
      <c r="N92" s="271"/>
      <c r="O92" s="270"/>
      <c r="P92" s="270"/>
      <c r="Q92" s="270"/>
      <c r="R92" s="270"/>
      <c r="S92" s="371">
        <f>K92</f>
        <v>19600</v>
      </c>
      <c r="T92" s="272"/>
    </row>
    <row r="93" spans="1:21" ht="45" x14ac:dyDescent="0.25">
      <c r="A93" s="633"/>
      <c r="B93" s="639"/>
      <c r="C93" s="279">
        <v>4.0999999999999996</v>
      </c>
      <c r="D93" s="276" t="s">
        <v>310</v>
      </c>
      <c r="E93" s="264">
        <v>2</v>
      </c>
      <c r="F93" s="262" t="s">
        <v>31</v>
      </c>
      <c r="G93" s="265" t="s">
        <v>270</v>
      </c>
      <c r="H93" s="266" t="s">
        <v>432</v>
      </c>
      <c r="I93" s="266"/>
      <c r="J93" s="267"/>
      <c r="K93" s="182">
        <v>95000</v>
      </c>
      <c r="L93" s="403" t="s">
        <v>95</v>
      </c>
      <c r="M93" s="271"/>
      <c r="N93" s="271"/>
      <c r="O93" s="270"/>
      <c r="P93" s="270"/>
      <c r="Q93" s="270"/>
      <c r="R93" s="270"/>
      <c r="S93" s="270">
        <f>K93</f>
        <v>95000</v>
      </c>
      <c r="T93" s="272"/>
    </row>
    <row r="94" spans="1:21" ht="60" customHeight="1" x14ac:dyDescent="0.25">
      <c r="A94" s="633"/>
      <c r="B94" s="639"/>
      <c r="C94" s="262">
        <v>4.1100000000000003</v>
      </c>
      <c r="D94" s="276" t="s">
        <v>167</v>
      </c>
      <c r="E94" s="264">
        <v>2</v>
      </c>
      <c r="F94" s="262" t="s">
        <v>31</v>
      </c>
      <c r="G94" s="265" t="s">
        <v>433</v>
      </c>
      <c r="H94" s="266" t="s">
        <v>434</v>
      </c>
      <c r="I94" s="266"/>
      <c r="J94" s="267"/>
      <c r="K94" s="182">
        <f>90000-13904-4748</f>
        <v>71348</v>
      </c>
      <c r="L94" s="269" t="s">
        <v>435</v>
      </c>
      <c r="M94" s="270"/>
      <c r="N94" s="271"/>
      <c r="O94" s="270"/>
      <c r="P94" s="270"/>
      <c r="Q94" s="270"/>
      <c r="R94" s="270"/>
      <c r="S94" s="270"/>
      <c r="T94" s="407">
        <f>K94</f>
        <v>71348</v>
      </c>
      <c r="U94" s="49"/>
    </row>
    <row r="95" spans="1:21" ht="59.45" customHeight="1" x14ac:dyDescent="0.25">
      <c r="A95" s="633"/>
      <c r="B95" s="639"/>
      <c r="C95" s="262">
        <v>4.12</v>
      </c>
      <c r="D95" s="276" t="s">
        <v>170</v>
      </c>
      <c r="E95" s="264">
        <v>2</v>
      </c>
      <c r="F95" s="262" t="s">
        <v>31</v>
      </c>
      <c r="G95" s="265" t="s">
        <v>436</v>
      </c>
      <c r="H95" s="266" t="s">
        <v>437</v>
      </c>
      <c r="I95" s="266"/>
      <c r="J95" s="267"/>
      <c r="K95" s="182">
        <v>80000</v>
      </c>
      <c r="L95" s="269" t="s">
        <v>435</v>
      </c>
      <c r="M95" s="270"/>
      <c r="N95" s="271"/>
      <c r="O95" s="270"/>
      <c r="P95" s="270"/>
      <c r="Q95" s="270"/>
      <c r="R95" s="270"/>
      <c r="S95" s="270"/>
      <c r="T95" s="407">
        <f>K95</f>
        <v>80000</v>
      </c>
    </row>
    <row r="96" spans="1:21" ht="45" x14ac:dyDescent="0.25">
      <c r="A96" s="633"/>
      <c r="B96" s="184"/>
      <c r="C96" s="262">
        <v>4.13</v>
      </c>
      <c r="D96" s="263" t="s">
        <v>317</v>
      </c>
      <c r="E96" s="264">
        <v>2</v>
      </c>
      <c r="F96" s="262" t="s">
        <v>31</v>
      </c>
      <c r="G96" s="262" t="s">
        <v>438</v>
      </c>
      <c r="H96" s="280" t="s">
        <v>439</v>
      </c>
      <c r="I96" s="280"/>
      <c r="J96" s="281"/>
      <c r="K96" s="182">
        <v>80000</v>
      </c>
      <c r="L96" s="282" t="s">
        <v>129</v>
      </c>
      <c r="M96" s="283"/>
      <c r="N96" s="271"/>
      <c r="O96" s="270"/>
      <c r="P96" s="270"/>
      <c r="Q96" s="270"/>
      <c r="R96" s="270"/>
      <c r="S96" s="270"/>
      <c r="T96" s="272">
        <f>K96</f>
        <v>80000</v>
      </c>
    </row>
    <row r="97" spans="1:23" ht="30" x14ac:dyDescent="0.25">
      <c r="A97" s="633"/>
      <c r="B97" s="184"/>
      <c r="C97" s="589">
        <v>4.1399999999999997</v>
      </c>
      <c r="D97" s="591" t="s">
        <v>440</v>
      </c>
      <c r="E97" s="423">
        <v>2</v>
      </c>
      <c r="F97" s="417" t="s">
        <v>73</v>
      </c>
      <c r="G97" s="417" t="s">
        <v>441</v>
      </c>
      <c r="H97" s="420" t="s">
        <v>442</v>
      </c>
      <c r="I97" s="189"/>
      <c r="J97" s="419"/>
      <c r="K97" s="395">
        <v>40000</v>
      </c>
      <c r="L97" s="282" t="s">
        <v>95</v>
      </c>
      <c r="M97" s="283"/>
      <c r="N97" s="271"/>
      <c r="O97" s="270"/>
      <c r="P97" s="270"/>
      <c r="Q97" s="270"/>
      <c r="R97" s="270"/>
      <c r="S97" s="371">
        <v>40000</v>
      </c>
      <c r="T97" s="272"/>
    </row>
    <row r="98" spans="1:23" ht="30" x14ac:dyDescent="0.25">
      <c r="A98" s="633"/>
      <c r="B98" s="184"/>
      <c r="C98" s="590"/>
      <c r="D98" s="592"/>
      <c r="E98" s="423">
        <v>2</v>
      </c>
      <c r="F98" s="417" t="s">
        <v>73</v>
      </c>
      <c r="G98" s="417" t="s">
        <v>443</v>
      </c>
      <c r="H98" s="420" t="s">
        <v>444</v>
      </c>
      <c r="I98" s="189"/>
      <c r="J98" s="419"/>
      <c r="K98" s="395">
        <v>80000</v>
      </c>
      <c r="L98" s="282" t="s">
        <v>129</v>
      </c>
      <c r="M98" s="283"/>
      <c r="N98" s="271"/>
      <c r="O98" s="270"/>
      <c r="P98" s="270"/>
      <c r="Q98" s="270"/>
      <c r="R98" s="270"/>
      <c r="S98" s="371"/>
      <c r="T98" s="272">
        <v>80000</v>
      </c>
    </row>
    <row r="99" spans="1:23" x14ac:dyDescent="0.25">
      <c r="A99" s="633"/>
      <c r="B99" s="635" t="s">
        <v>320</v>
      </c>
      <c r="C99" s="522" t="s">
        <v>445</v>
      </c>
      <c r="D99" s="523"/>
      <c r="E99" s="523"/>
      <c r="F99" s="523"/>
      <c r="G99" s="523"/>
      <c r="H99" s="524"/>
      <c r="I99" s="428">
        <v>237500</v>
      </c>
      <c r="J99" s="450"/>
      <c r="K99" s="268"/>
      <c r="L99" s="282"/>
      <c r="M99" s="283"/>
      <c r="N99" s="271"/>
      <c r="O99" s="270"/>
      <c r="P99" s="270"/>
      <c r="Q99" s="270"/>
      <c r="R99" s="270"/>
      <c r="S99" s="270"/>
      <c r="T99" s="272"/>
    </row>
    <row r="100" spans="1:23" x14ac:dyDescent="0.25">
      <c r="A100" s="633"/>
      <c r="B100" s="636"/>
      <c r="C100" s="522" t="s">
        <v>446</v>
      </c>
      <c r="D100" s="523"/>
      <c r="E100" s="523"/>
      <c r="F100" s="523"/>
      <c r="G100" s="523"/>
      <c r="H100" s="524"/>
      <c r="I100" s="410">
        <v>204834.46</v>
      </c>
      <c r="J100" s="453">
        <v>204834.46</v>
      </c>
      <c r="K100" s="268"/>
      <c r="L100" s="286"/>
      <c r="M100" s="287"/>
      <c r="N100" s="271"/>
      <c r="O100" s="270"/>
      <c r="P100" s="270"/>
      <c r="Q100" s="270"/>
      <c r="R100" s="270"/>
      <c r="S100" s="270"/>
      <c r="T100" s="272"/>
      <c r="U100" s="437">
        <v>204834.46</v>
      </c>
    </row>
    <row r="101" spans="1:23" x14ac:dyDescent="0.25">
      <c r="A101" s="633"/>
      <c r="B101" s="636"/>
      <c r="C101" s="522" t="s">
        <v>447</v>
      </c>
      <c r="D101" s="523"/>
      <c r="E101" s="523"/>
      <c r="F101" s="523"/>
      <c r="G101" s="523"/>
      <c r="H101" s="524"/>
      <c r="I101" s="410">
        <f>18200+82712+89600</f>
        <v>190512</v>
      </c>
      <c r="J101" s="453">
        <f>18200+82712+89600</f>
        <v>190512</v>
      </c>
      <c r="K101" s="268"/>
      <c r="L101" s="286"/>
      <c r="M101" s="287"/>
      <c r="N101" s="271"/>
      <c r="O101" s="270"/>
      <c r="P101" s="270"/>
      <c r="Q101" s="270"/>
      <c r="R101" s="270"/>
      <c r="S101" s="270"/>
      <c r="T101" s="272"/>
      <c r="U101" s="437">
        <v>125653.61</v>
      </c>
    </row>
    <row r="102" spans="1:23" x14ac:dyDescent="0.25">
      <c r="A102" s="633"/>
      <c r="B102" s="636"/>
      <c r="C102" s="522" t="s">
        <v>448</v>
      </c>
      <c r="D102" s="523"/>
      <c r="E102" s="523"/>
      <c r="F102" s="523"/>
      <c r="G102" s="523"/>
      <c r="H102" s="524"/>
      <c r="I102" s="428">
        <v>198000</v>
      </c>
      <c r="J102" s="450"/>
      <c r="K102" s="268"/>
      <c r="L102" s="286"/>
      <c r="M102" s="287"/>
      <c r="N102" s="271"/>
      <c r="O102" s="270"/>
      <c r="P102" s="270"/>
      <c r="Q102" s="270"/>
      <c r="R102" s="270"/>
      <c r="S102" s="270"/>
      <c r="T102" s="272"/>
      <c r="U102" s="437"/>
    </row>
    <row r="103" spans="1:23" x14ac:dyDescent="0.25">
      <c r="A103" s="633"/>
      <c r="B103" s="636"/>
      <c r="C103" s="522" t="s">
        <v>449</v>
      </c>
      <c r="D103" s="523"/>
      <c r="E103" s="523"/>
      <c r="F103" s="523"/>
      <c r="G103" s="523"/>
      <c r="H103" s="524"/>
      <c r="I103" s="428">
        <v>89448</v>
      </c>
      <c r="J103" s="450">
        <v>89448</v>
      </c>
      <c r="K103" s="268"/>
      <c r="L103" s="286"/>
      <c r="M103" s="287"/>
      <c r="N103" s="271"/>
      <c r="O103" s="270"/>
      <c r="P103" s="270"/>
      <c r="Q103" s="270"/>
      <c r="R103" s="270"/>
      <c r="S103" s="270"/>
      <c r="T103" s="272"/>
      <c r="U103" s="437">
        <f>57289.09+32158.45</f>
        <v>89447.54</v>
      </c>
    </row>
    <row r="104" spans="1:23" x14ac:dyDescent="0.25">
      <c r="A104" s="634"/>
      <c r="B104" s="636"/>
      <c r="C104" s="522"/>
      <c r="D104" s="523"/>
      <c r="E104" s="523"/>
      <c r="F104" s="523"/>
      <c r="G104" s="523"/>
      <c r="H104" s="524"/>
      <c r="I104" s="285"/>
      <c r="J104" s="454"/>
      <c r="K104" s="268"/>
      <c r="L104" s="288"/>
      <c r="M104" s="289"/>
      <c r="N104" s="271"/>
      <c r="O104" s="270"/>
      <c r="P104" s="270"/>
      <c r="Q104" s="270"/>
      <c r="R104" s="270"/>
      <c r="S104" s="270"/>
      <c r="T104" s="272"/>
    </row>
    <row r="105" spans="1:23" x14ac:dyDescent="0.25">
      <c r="A105" s="366"/>
      <c r="B105" s="525" t="s">
        <v>329</v>
      </c>
      <c r="C105" s="526"/>
      <c r="D105" s="526"/>
      <c r="E105" s="526"/>
      <c r="F105" s="526"/>
      <c r="G105" s="526"/>
      <c r="H105" s="527"/>
      <c r="I105" s="41">
        <f>SUM(I77:I104)</f>
        <v>922589.59</v>
      </c>
      <c r="J105" s="41">
        <f>SUM(J77:J104)</f>
        <v>487089.58999999997</v>
      </c>
      <c r="K105" s="41">
        <f>SUM(K77:K98)</f>
        <v>950000.1</v>
      </c>
      <c r="L105" s="213" t="s">
        <v>330</v>
      </c>
      <c r="M105" s="224">
        <f t="shared" ref="M105:T105" si="5">SUM(M77:M104)</f>
        <v>0</v>
      </c>
      <c r="N105" s="224">
        <f t="shared" si="5"/>
        <v>0</v>
      </c>
      <c r="O105" s="195">
        <f t="shared" si="5"/>
        <v>36920</v>
      </c>
      <c r="P105" s="195">
        <f t="shared" si="5"/>
        <v>0</v>
      </c>
      <c r="Q105" s="195">
        <f t="shared" si="5"/>
        <v>120841.09999999999</v>
      </c>
      <c r="R105" s="195">
        <f>SUM(R77:R104)</f>
        <v>103266</v>
      </c>
      <c r="S105" s="216">
        <f t="shared" si="5"/>
        <v>396275</v>
      </c>
      <c r="T105" s="261">
        <f t="shared" si="5"/>
        <v>311348</v>
      </c>
      <c r="U105" s="493">
        <f>SUM(U77:U104)</f>
        <v>422230.74</v>
      </c>
      <c r="V105" s="411">
        <f>SUM(V77:V104)</f>
        <v>36920</v>
      </c>
      <c r="W105" s="519">
        <f>SUM(M105:R105)/K105</f>
        <v>0.27476533949838527</v>
      </c>
    </row>
    <row r="106" spans="1:23" ht="14.45" customHeight="1" x14ac:dyDescent="0.25">
      <c r="A106" s="614">
        <v>5</v>
      </c>
      <c r="B106" s="616" t="s">
        <v>182</v>
      </c>
      <c r="C106" s="624">
        <v>5.0999999999999996</v>
      </c>
      <c r="D106" s="581" t="s">
        <v>331</v>
      </c>
      <c r="E106" s="239">
        <v>1</v>
      </c>
      <c r="F106" s="240" t="s">
        <v>18</v>
      </c>
      <c r="G106" s="241" t="s">
        <v>184</v>
      </c>
      <c r="H106" s="242" t="s">
        <v>332</v>
      </c>
      <c r="I106" s="442"/>
      <c r="J106" s="243"/>
      <c r="K106" s="244">
        <v>30000</v>
      </c>
      <c r="L106" s="245" t="s">
        <v>21</v>
      </c>
      <c r="M106" s="246"/>
      <c r="N106" s="247">
        <v>30000</v>
      </c>
      <c r="O106" s="246"/>
      <c r="P106" s="246"/>
      <c r="Q106" s="246"/>
      <c r="R106" s="246"/>
      <c r="S106" s="246"/>
      <c r="T106" s="248"/>
      <c r="U106" s="437"/>
      <c r="V106" s="437">
        <f>K106</f>
        <v>30000</v>
      </c>
    </row>
    <row r="107" spans="1:23" ht="30" x14ac:dyDescent="0.25">
      <c r="A107" s="615"/>
      <c r="B107" s="617"/>
      <c r="C107" s="625"/>
      <c r="D107" s="582"/>
      <c r="E107" s="239">
        <v>1</v>
      </c>
      <c r="F107" s="240" t="s">
        <v>18</v>
      </c>
      <c r="G107" s="241" t="s">
        <v>184</v>
      </c>
      <c r="H107" s="249" t="s">
        <v>333</v>
      </c>
      <c r="I107" s="443"/>
      <c r="J107" s="243"/>
      <c r="K107" s="244">
        <v>30000</v>
      </c>
      <c r="L107" s="245" t="s">
        <v>21</v>
      </c>
      <c r="M107" s="246"/>
      <c r="N107" s="247">
        <v>30000</v>
      </c>
      <c r="O107" s="246"/>
      <c r="P107" s="246"/>
      <c r="Q107" s="246"/>
      <c r="R107" s="246"/>
      <c r="S107" s="246"/>
      <c r="T107" s="248"/>
      <c r="U107" s="437"/>
      <c r="V107" s="437">
        <f t="shared" ref="V107:V111" si="6">K107</f>
        <v>30000</v>
      </c>
    </row>
    <row r="108" spans="1:23" ht="199.35" customHeight="1" x14ac:dyDescent="0.25">
      <c r="A108" s="615"/>
      <c r="B108" s="617"/>
      <c r="C108" s="625"/>
      <c r="D108" s="582"/>
      <c r="E108" s="239">
        <v>1</v>
      </c>
      <c r="F108" s="240" t="s">
        <v>18</v>
      </c>
      <c r="G108" s="241" t="s">
        <v>184</v>
      </c>
      <c r="H108" s="250" t="s">
        <v>334</v>
      </c>
      <c r="I108" s="414">
        <f>12000+6950</f>
        <v>18950</v>
      </c>
      <c r="J108" s="414">
        <f>12000+6950</f>
        <v>18950</v>
      </c>
      <c r="K108" s="379">
        <f>M108+N108</f>
        <v>317926.34999999998</v>
      </c>
      <c r="L108" s="245" t="s">
        <v>450</v>
      </c>
      <c r="M108" s="408">
        <v>117926.1</v>
      </c>
      <c r="N108" s="247">
        <v>200000.25</v>
      </c>
      <c r="O108" s="246"/>
      <c r="P108" s="246"/>
      <c r="Q108" s="246"/>
      <c r="R108" s="246"/>
      <c r="S108" s="246"/>
      <c r="T108" s="248"/>
      <c r="U108" s="437">
        <f>J108</f>
        <v>18950</v>
      </c>
      <c r="V108" s="437">
        <f t="shared" si="6"/>
        <v>317926.34999999998</v>
      </c>
    </row>
    <row r="109" spans="1:23" ht="30" x14ac:dyDescent="0.25">
      <c r="A109" s="615"/>
      <c r="B109" s="617"/>
      <c r="C109" s="625"/>
      <c r="D109" s="582"/>
      <c r="E109" s="239">
        <v>1</v>
      </c>
      <c r="F109" s="240" t="s">
        <v>18</v>
      </c>
      <c r="G109" s="241" t="s">
        <v>184</v>
      </c>
      <c r="H109" s="251" t="s">
        <v>335</v>
      </c>
      <c r="I109" s="414">
        <v>6056.1</v>
      </c>
      <c r="J109" s="414">
        <v>6056.1</v>
      </c>
      <c r="K109" s="402">
        <v>100843.75</v>
      </c>
      <c r="L109" s="245" t="s">
        <v>28</v>
      </c>
      <c r="M109" s="246"/>
      <c r="N109" s="247"/>
      <c r="O109" s="412">
        <f>K109</f>
        <v>100843.75</v>
      </c>
      <c r="P109" s="246"/>
      <c r="Q109" s="246"/>
      <c r="R109" s="246"/>
      <c r="S109" s="246"/>
      <c r="T109" s="248"/>
      <c r="U109" s="437">
        <f>J109</f>
        <v>6056.1</v>
      </c>
      <c r="V109" s="437">
        <f t="shared" si="6"/>
        <v>100843.75</v>
      </c>
    </row>
    <row r="110" spans="1:23" ht="30" x14ac:dyDescent="0.25">
      <c r="A110" s="615"/>
      <c r="B110" s="617"/>
      <c r="C110" s="625"/>
      <c r="D110" s="582"/>
      <c r="E110" s="239">
        <v>1</v>
      </c>
      <c r="F110" s="240" t="s">
        <v>18</v>
      </c>
      <c r="G110" s="241" t="s">
        <v>184</v>
      </c>
      <c r="H110" s="251" t="s">
        <v>336</v>
      </c>
      <c r="I110" s="251"/>
      <c r="J110" s="243"/>
      <c r="K110" s="402">
        <f>M110</f>
        <v>90482</v>
      </c>
      <c r="L110" s="245" t="s">
        <v>312</v>
      </c>
      <c r="M110" s="412">
        <v>90482</v>
      </c>
      <c r="N110" s="247"/>
      <c r="O110" s="246"/>
      <c r="P110" s="246"/>
      <c r="Q110" s="246"/>
      <c r="R110" s="246"/>
      <c r="S110" s="246"/>
      <c r="T110" s="248"/>
      <c r="U110" s="437"/>
      <c r="V110" s="437">
        <f t="shared" si="6"/>
        <v>90482</v>
      </c>
    </row>
    <row r="111" spans="1:23" x14ac:dyDescent="0.25">
      <c r="A111" s="615"/>
      <c r="B111" s="617"/>
      <c r="C111" s="625"/>
      <c r="D111" s="582"/>
      <c r="E111" s="239">
        <v>1</v>
      </c>
      <c r="F111" s="240" t="s">
        <v>18</v>
      </c>
      <c r="G111" s="241" t="s">
        <v>184</v>
      </c>
      <c r="H111" s="251" t="s">
        <v>451</v>
      </c>
      <c r="I111" s="251"/>
      <c r="J111" s="243"/>
      <c r="K111" s="402">
        <f>M111+O111</f>
        <v>118764.5</v>
      </c>
      <c r="L111" s="245" t="s">
        <v>452</v>
      </c>
      <c r="M111" s="408">
        <v>68764.5</v>
      </c>
      <c r="N111" s="247"/>
      <c r="O111" s="246">
        <v>50000</v>
      </c>
      <c r="P111" s="246"/>
      <c r="Q111" s="246"/>
      <c r="R111" s="246"/>
      <c r="S111" s="246"/>
      <c r="T111" s="248"/>
      <c r="U111" s="437"/>
      <c r="V111" s="437">
        <f t="shared" si="6"/>
        <v>118764.5</v>
      </c>
    </row>
    <row r="112" spans="1:23" ht="30" x14ac:dyDescent="0.25">
      <c r="A112" s="615"/>
      <c r="B112" s="617"/>
      <c r="C112" s="626"/>
      <c r="D112" s="583"/>
      <c r="E112" s="511">
        <v>1</v>
      </c>
      <c r="F112" s="512" t="s">
        <v>66</v>
      </c>
      <c r="G112" s="513" t="s">
        <v>184</v>
      </c>
      <c r="H112" s="514" t="s">
        <v>453</v>
      </c>
      <c r="I112" s="251"/>
      <c r="J112" s="243"/>
      <c r="K112" s="516">
        <v>6052</v>
      </c>
      <c r="L112" s="515" t="s">
        <v>33</v>
      </c>
      <c r="M112" s="247"/>
      <c r="N112" s="247"/>
      <c r="O112" s="246"/>
      <c r="P112" s="246"/>
      <c r="Q112" s="246"/>
      <c r="R112" s="246">
        <v>6052</v>
      </c>
      <c r="S112" s="246"/>
      <c r="T112" s="248"/>
      <c r="U112" s="437"/>
      <c r="V112" s="437"/>
    </row>
    <row r="113" spans="1:23" ht="30" x14ac:dyDescent="0.25">
      <c r="A113" s="615"/>
      <c r="B113" s="617"/>
      <c r="C113" s="475">
        <v>5.2</v>
      </c>
      <c r="D113" s="476" t="s">
        <v>454</v>
      </c>
      <c r="E113" s="477">
        <v>1</v>
      </c>
      <c r="F113" s="478" t="s">
        <v>66</v>
      </c>
      <c r="G113" s="479" t="s">
        <v>455</v>
      </c>
      <c r="H113" s="469" t="s">
        <v>456</v>
      </c>
      <c r="I113" s="251"/>
      <c r="J113" s="243"/>
      <c r="K113" s="402">
        <v>95334.82</v>
      </c>
      <c r="L113" s="481" t="s">
        <v>33</v>
      </c>
      <c r="M113" s="412"/>
      <c r="N113" s="482"/>
      <c r="O113" s="412"/>
      <c r="P113" s="412"/>
      <c r="Q113" s="408">
        <f>K113</f>
        <v>95334.82</v>
      </c>
      <c r="R113" s="412"/>
      <c r="S113" s="412"/>
      <c r="T113" s="248"/>
      <c r="V113" s="455">
        <v>37737.94</v>
      </c>
      <c r="W113" s="49"/>
    </row>
    <row r="114" spans="1:23" ht="17.100000000000001" customHeight="1" x14ac:dyDescent="0.25">
      <c r="A114" s="615"/>
      <c r="B114" s="617"/>
      <c r="C114" s="475">
        <v>5.3</v>
      </c>
      <c r="D114" s="476" t="s">
        <v>457</v>
      </c>
      <c r="E114" s="480" t="s">
        <v>458</v>
      </c>
      <c r="F114" s="478" t="s">
        <v>66</v>
      </c>
      <c r="G114" s="479" t="s">
        <v>459</v>
      </c>
      <c r="H114" s="469" t="s">
        <v>460</v>
      </c>
      <c r="I114" s="251"/>
      <c r="J114" s="243"/>
      <c r="K114" s="402">
        <v>45000</v>
      </c>
      <c r="L114" s="481" t="s">
        <v>461</v>
      </c>
      <c r="M114" s="412"/>
      <c r="N114" s="482"/>
      <c r="O114" s="412"/>
      <c r="P114" s="412"/>
      <c r="Q114" s="408">
        <v>18792.38</v>
      </c>
      <c r="R114" s="412">
        <v>12000</v>
      </c>
      <c r="S114" s="412">
        <v>14208</v>
      </c>
      <c r="T114" s="248"/>
      <c r="U114" s="455"/>
      <c r="V114" s="437"/>
    </row>
    <row r="115" spans="1:23" ht="30" customHeight="1" x14ac:dyDescent="0.25">
      <c r="A115" s="615"/>
      <c r="B115" s="617"/>
      <c r="C115" s="240">
        <v>5.3</v>
      </c>
      <c r="D115" s="252" t="s">
        <v>161</v>
      </c>
      <c r="E115" s="239">
        <v>2</v>
      </c>
      <c r="F115" s="240" t="s">
        <v>31</v>
      </c>
      <c r="G115" s="241" t="s">
        <v>462</v>
      </c>
      <c r="H115" s="251" t="s">
        <v>338</v>
      </c>
      <c r="I115" s="251"/>
      <c r="J115" s="243"/>
      <c r="K115" s="244">
        <v>40000</v>
      </c>
      <c r="L115" s="245" t="s">
        <v>463</v>
      </c>
      <c r="M115" s="246"/>
      <c r="N115" s="247"/>
      <c r="O115" s="246"/>
      <c r="P115" s="246"/>
      <c r="Q115" s="246">
        <v>22836.77</v>
      </c>
      <c r="R115" s="246">
        <v>17163</v>
      </c>
      <c r="S115" s="246"/>
      <c r="T115" s="248"/>
      <c r="U115" s="437"/>
      <c r="V115" s="437"/>
    </row>
    <row r="116" spans="1:23" ht="45" x14ac:dyDescent="0.25">
      <c r="A116" s="615"/>
      <c r="B116" s="618"/>
      <c r="C116" s="240">
        <v>5.4</v>
      </c>
      <c r="D116" s="253" t="s">
        <v>191</v>
      </c>
      <c r="E116" s="239">
        <v>2</v>
      </c>
      <c r="F116" s="240" t="s">
        <v>31</v>
      </c>
      <c r="G116" s="241" t="s">
        <v>74</v>
      </c>
      <c r="H116" s="251" t="s">
        <v>464</v>
      </c>
      <c r="I116" s="251"/>
      <c r="J116" s="243"/>
      <c r="K116" s="413">
        <f>466500-179517-90000-45000-K112-5334</f>
        <v>140597</v>
      </c>
      <c r="L116" s="245" t="s">
        <v>465</v>
      </c>
      <c r="M116" s="246"/>
      <c r="N116" s="247"/>
      <c r="O116" s="246"/>
      <c r="P116" s="246"/>
      <c r="Q116" s="246"/>
      <c r="R116" s="246"/>
      <c r="S116" s="246">
        <f>K116/2</f>
        <v>70298.5</v>
      </c>
      <c r="T116" s="248">
        <f>K116-S116</f>
        <v>70298.5</v>
      </c>
      <c r="U116" s="437"/>
      <c r="V116" s="437"/>
    </row>
    <row r="117" spans="1:23" ht="15" customHeight="1" x14ac:dyDescent="0.25">
      <c r="A117" s="615"/>
      <c r="B117" s="619" t="s">
        <v>340</v>
      </c>
      <c r="C117" s="566" t="s">
        <v>466</v>
      </c>
      <c r="D117" s="567"/>
      <c r="E117" s="567"/>
      <c r="F117" s="567"/>
      <c r="G117" s="567"/>
      <c r="H117" s="568"/>
      <c r="I117" s="431">
        <v>250000</v>
      </c>
      <c r="J117" s="431"/>
      <c r="K117" s="244"/>
      <c r="L117" s="256"/>
      <c r="M117" s="257"/>
      <c r="N117" s="247"/>
      <c r="O117" s="246"/>
      <c r="P117" s="246"/>
      <c r="Q117" s="246"/>
      <c r="R117" s="246"/>
      <c r="S117" s="246"/>
      <c r="T117" s="248"/>
      <c r="U117" s="437"/>
      <c r="V117" s="437"/>
    </row>
    <row r="118" spans="1:23" ht="15" customHeight="1" x14ac:dyDescent="0.25">
      <c r="A118" s="615"/>
      <c r="B118" s="620"/>
      <c r="C118" s="611" t="s">
        <v>467</v>
      </c>
      <c r="D118" s="612"/>
      <c r="E118" s="612"/>
      <c r="F118" s="612"/>
      <c r="G118" s="612"/>
      <c r="H118" s="613"/>
      <c r="I118" s="432">
        <f>192387+140000</f>
        <v>332387</v>
      </c>
      <c r="J118" s="432">
        <v>106575</v>
      </c>
      <c r="K118" s="244"/>
      <c r="L118" s="258"/>
      <c r="M118" s="259"/>
      <c r="N118" s="247"/>
      <c r="O118" s="246"/>
      <c r="P118" s="246"/>
      <c r="Q118" s="246"/>
      <c r="R118" s="246"/>
      <c r="S118" s="246"/>
      <c r="T118" s="248"/>
      <c r="U118" s="437">
        <v>106575.29</v>
      </c>
      <c r="V118" s="437"/>
    </row>
    <row r="119" spans="1:23" ht="15" customHeight="1" x14ac:dyDescent="0.25">
      <c r="A119" s="615"/>
      <c r="B119" s="620"/>
      <c r="C119" s="611" t="s">
        <v>195</v>
      </c>
      <c r="D119" s="612"/>
      <c r="E119" s="612"/>
      <c r="F119" s="612"/>
      <c r="G119" s="612"/>
      <c r="H119" s="613"/>
      <c r="I119" s="243">
        <v>125271</v>
      </c>
      <c r="J119" s="243">
        <v>125271</v>
      </c>
      <c r="K119" s="244"/>
      <c r="L119" s="258"/>
      <c r="M119" s="259"/>
      <c r="N119" s="247"/>
      <c r="O119" s="246"/>
      <c r="P119" s="246"/>
      <c r="Q119" s="246"/>
      <c r="R119" s="246"/>
      <c r="S119" s="246"/>
      <c r="T119" s="248"/>
      <c r="U119" s="437">
        <v>125271</v>
      </c>
      <c r="V119" s="437"/>
    </row>
    <row r="120" spans="1:23" ht="15" customHeight="1" x14ac:dyDescent="0.25">
      <c r="A120" s="615"/>
      <c r="B120" s="620"/>
      <c r="C120" s="611" t="s">
        <v>344</v>
      </c>
      <c r="D120" s="612"/>
      <c r="E120" s="612"/>
      <c r="F120" s="612"/>
      <c r="G120" s="612"/>
      <c r="H120" s="613"/>
      <c r="I120" s="431">
        <v>65000</v>
      </c>
      <c r="J120" s="431">
        <v>6615</v>
      </c>
      <c r="K120" s="244"/>
      <c r="L120" s="258"/>
      <c r="M120" s="259"/>
      <c r="N120" s="247"/>
      <c r="O120" s="246"/>
      <c r="P120" s="246"/>
      <c r="Q120" s="246"/>
      <c r="R120" s="246"/>
      <c r="S120" s="246"/>
      <c r="T120" s="248"/>
      <c r="U120" s="437">
        <v>6615</v>
      </c>
      <c r="V120" s="437"/>
    </row>
    <row r="121" spans="1:23" ht="15" customHeight="1" x14ac:dyDescent="0.25">
      <c r="A121" s="615"/>
      <c r="B121" s="620"/>
      <c r="C121" s="611" t="s">
        <v>468</v>
      </c>
      <c r="D121" s="612"/>
      <c r="E121" s="612"/>
      <c r="F121" s="612"/>
      <c r="G121" s="612"/>
      <c r="H121" s="613"/>
      <c r="I121" s="243">
        <v>40000</v>
      </c>
      <c r="J121" s="243"/>
      <c r="K121" s="244"/>
      <c r="L121" s="258"/>
      <c r="M121" s="259"/>
      <c r="N121" s="247"/>
      <c r="O121" s="246"/>
      <c r="P121" s="246"/>
      <c r="Q121" s="246"/>
      <c r="R121" s="246"/>
      <c r="S121" s="246"/>
      <c r="T121" s="248"/>
      <c r="U121" s="437"/>
      <c r="V121" s="437"/>
    </row>
    <row r="122" spans="1:23" ht="15" customHeight="1" x14ac:dyDescent="0.25">
      <c r="A122" s="615"/>
      <c r="B122" s="620"/>
      <c r="C122" s="611" t="s">
        <v>346</v>
      </c>
      <c r="D122" s="612"/>
      <c r="E122" s="612"/>
      <c r="F122" s="612"/>
      <c r="G122" s="612"/>
      <c r="H122" s="613"/>
      <c r="I122" s="243">
        <v>389180.9</v>
      </c>
      <c r="J122" s="243">
        <v>389180.9</v>
      </c>
      <c r="K122" s="244"/>
      <c r="L122" s="258"/>
      <c r="M122" s="259"/>
      <c r="N122" s="247"/>
      <c r="O122" s="246"/>
      <c r="P122" s="246"/>
      <c r="Q122" s="246"/>
      <c r="R122" s="246"/>
      <c r="S122" s="246"/>
      <c r="T122" s="248"/>
      <c r="U122" s="437">
        <f>J122</f>
        <v>389180.9</v>
      </c>
      <c r="V122" s="437"/>
    </row>
    <row r="123" spans="1:23" ht="15" customHeight="1" x14ac:dyDescent="0.25">
      <c r="A123" s="615"/>
      <c r="B123" s="620"/>
      <c r="C123" s="254"/>
      <c r="D123" s="612" t="s">
        <v>347</v>
      </c>
      <c r="E123" s="612"/>
      <c r="F123" s="612"/>
      <c r="G123" s="612"/>
      <c r="H123" s="613"/>
      <c r="I123" s="243">
        <v>139223.53</v>
      </c>
      <c r="J123" s="243">
        <v>139223.53</v>
      </c>
      <c r="K123" s="244"/>
      <c r="L123" s="258"/>
      <c r="M123" s="259"/>
      <c r="N123" s="247"/>
      <c r="O123" s="246"/>
      <c r="P123" s="246"/>
      <c r="Q123" s="246"/>
      <c r="R123" s="246"/>
      <c r="S123" s="246"/>
      <c r="T123" s="248"/>
      <c r="U123" s="437">
        <f>J123</f>
        <v>139223.53</v>
      </c>
      <c r="V123" s="437"/>
      <c r="W123" s="49"/>
    </row>
    <row r="124" spans="1:23" ht="15" customHeight="1" x14ac:dyDescent="0.25">
      <c r="A124" s="615"/>
      <c r="B124" s="620"/>
      <c r="C124" s="254"/>
      <c r="D124" s="255"/>
      <c r="E124" s="255"/>
      <c r="F124" s="255"/>
      <c r="G124" s="255"/>
      <c r="H124" s="435" t="s">
        <v>469</v>
      </c>
      <c r="I124" s="436">
        <v>45000</v>
      </c>
      <c r="J124" s="436">
        <v>45000</v>
      </c>
      <c r="K124" s="244"/>
      <c r="L124" s="258"/>
      <c r="M124" s="259"/>
      <c r="N124" s="247"/>
      <c r="O124" s="246"/>
      <c r="P124" s="246"/>
      <c r="Q124" s="246"/>
      <c r="R124" s="246"/>
      <c r="S124" s="246"/>
      <c r="T124" s="248"/>
      <c r="U124" s="437"/>
      <c r="V124" s="437"/>
    </row>
    <row r="125" spans="1:23" ht="15" customHeight="1" x14ac:dyDescent="0.25">
      <c r="A125" s="615"/>
      <c r="B125" s="620"/>
      <c r="C125" s="621" t="s">
        <v>470</v>
      </c>
      <c r="D125" s="622"/>
      <c r="E125" s="622"/>
      <c r="F125" s="622"/>
      <c r="G125" s="622"/>
      <c r="H125" s="623"/>
      <c r="I125" s="414">
        <f>15776.53*2</f>
        <v>31553.06</v>
      </c>
      <c r="J125" s="414">
        <v>15777</v>
      </c>
      <c r="K125" s="244"/>
      <c r="L125" s="258"/>
      <c r="M125" s="259"/>
      <c r="N125" s="247"/>
      <c r="O125" s="246"/>
      <c r="P125" s="246"/>
      <c r="Q125" s="246"/>
      <c r="R125" s="246"/>
      <c r="S125" s="246"/>
      <c r="T125" s="248"/>
      <c r="U125" s="437">
        <v>15776.53</v>
      </c>
      <c r="V125" s="437"/>
    </row>
    <row r="126" spans="1:23" x14ac:dyDescent="0.25">
      <c r="A126" s="367"/>
      <c r="B126" s="605" t="s">
        <v>349</v>
      </c>
      <c r="C126" s="606"/>
      <c r="D126" s="606"/>
      <c r="E126" s="606"/>
      <c r="F126" s="606"/>
      <c r="G126" s="606"/>
      <c r="H126" s="607"/>
      <c r="I126" s="230">
        <f>SUM(I106:I125)</f>
        <v>1442621.59</v>
      </c>
      <c r="J126" s="230">
        <f>SUM(J106:J125)</f>
        <v>852648.53</v>
      </c>
      <c r="K126" s="230">
        <f>SUM(K106:K125)</f>
        <v>1015000.4199999999</v>
      </c>
      <c r="L126" s="256" t="s">
        <v>350</v>
      </c>
      <c r="M126" s="246">
        <f t="shared" ref="M126:V126" si="7">SUM(M106:M125)</f>
        <v>277172.59999999998</v>
      </c>
      <c r="N126" s="247">
        <f t="shared" si="7"/>
        <v>260000.25</v>
      </c>
      <c r="O126" s="247">
        <f t="shared" si="7"/>
        <v>150843.75</v>
      </c>
      <c r="P126" s="247">
        <f t="shared" si="7"/>
        <v>0</v>
      </c>
      <c r="Q126" s="247">
        <f t="shared" si="7"/>
        <v>136963.97</v>
      </c>
      <c r="R126" s="246">
        <f>SUM(R106:R125)</f>
        <v>35215</v>
      </c>
      <c r="S126" s="246">
        <f t="shared" si="7"/>
        <v>84506.5</v>
      </c>
      <c r="T126" s="248">
        <f t="shared" si="7"/>
        <v>70298.5</v>
      </c>
      <c r="U126" s="492">
        <f t="shared" si="7"/>
        <v>807648.35000000009</v>
      </c>
      <c r="V126" s="237">
        <f t="shared" si="7"/>
        <v>725754.54</v>
      </c>
      <c r="W126" s="519">
        <f>SUM(M126:R126)/K126</f>
        <v>0.84748296951443625</v>
      </c>
    </row>
    <row r="127" spans="1:23" ht="45" x14ac:dyDescent="0.25">
      <c r="A127" s="499"/>
      <c r="B127" s="500"/>
      <c r="C127" s="501"/>
      <c r="D127" s="500"/>
      <c r="E127" s="502"/>
      <c r="F127" s="501"/>
      <c r="G127" s="501"/>
      <c r="H127" s="503" t="s">
        <v>471</v>
      </c>
      <c r="I127" s="504">
        <f>K128*0.25</f>
        <v>966250.17749999999</v>
      </c>
      <c r="J127" s="504">
        <f>K128*0.25</f>
        <v>966250.17749999999</v>
      </c>
      <c r="K127" s="507"/>
      <c r="L127" s="508"/>
      <c r="M127" s="509"/>
      <c r="N127" s="505"/>
      <c r="O127" s="505"/>
      <c r="P127" s="505"/>
      <c r="Q127" s="505"/>
      <c r="R127" s="505"/>
      <c r="S127" s="505"/>
      <c r="T127" s="506"/>
      <c r="U127" s="49"/>
    </row>
    <row r="128" spans="1:23" ht="35.25" customHeight="1" thickBot="1" x14ac:dyDescent="0.3">
      <c r="A128" s="608" t="s">
        <v>202</v>
      </c>
      <c r="B128" s="609"/>
      <c r="C128" s="609"/>
      <c r="D128" s="609"/>
      <c r="E128" s="609"/>
      <c r="F128" s="609"/>
      <c r="G128" s="609"/>
      <c r="H128" s="610"/>
      <c r="I128" s="201">
        <f>I126+I105+I76+I45+I19+I127</f>
        <v>6393647.6575000007</v>
      </c>
      <c r="J128" s="201">
        <f>J126+J105+J76+J45+J19+J127</f>
        <v>4157279.2875000006</v>
      </c>
      <c r="K128" s="369">
        <f>K126+K105+K76+K45+K19</f>
        <v>3865000.71</v>
      </c>
      <c r="L128" s="235" t="s">
        <v>351</v>
      </c>
      <c r="M128" s="201">
        <f t="shared" ref="M128:V128" si="8">M126+M105+M76+M45+M19</f>
        <v>386499.6</v>
      </c>
      <c r="N128" s="236">
        <f t="shared" si="8"/>
        <v>452000.25</v>
      </c>
      <c r="O128" s="201">
        <f t="shared" si="8"/>
        <v>343947.75</v>
      </c>
      <c r="P128" s="201">
        <f t="shared" si="8"/>
        <v>258764.19</v>
      </c>
      <c r="Q128" s="201">
        <f t="shared" si="8"/>
        <v>442905.45999999996</v>
      </c>
      <c r="R128" s="201">
        <f t="shared" si="8"/>
        <v>454355</v>
      </c>
      <c r="S128" s="201">
        <f t="shared" si="8"/>
        <v>668781.5</v>
      </c>
      <c r="T128" s="238">
        <f t="shared" si="8"/>
        <v>876397.5</v>
      </c>
      <c r="U128" s="471">
        <f>U126+U105+U76+U45+U19</f>
        <v>2714705.9529737206</v>
      </c>
      <c r="V128" s="426">
        <f t="shared" si="8"/>
        <v>1504480.21</v>
      </c>
    </row>
    <row r="129" spans="2:21" x14ac:dyDescent="0.25">
      <c r="B129" s="1"/>
      <c r="C129" s="3"/>
      <c r="D129" s="1"/>
      <c r="H129" s="372" t="s">
        <v>352</v>
      </c>
      <c r="I129" s="373">
        <v>3865000</v>
      </c>
      <c r="J129" s="373">
        <v>3865000</v>
      </c>
      <c r="K129" s="373">
        <v>3865000</v>
      </c>
      <c r="M129" s="373">
        <v>386500</v>
      </c>
      <c r="N129" s="374">
        <v>452000</v>
      </c>
      <c r="O129" s="374">
        <v>337550</v>
      </c>
      <c r="P129" s="374"/>
      <c r="Q129" s="374">
        <v>551723</v>
      </c>
      <c r="R129" s="374">
        <v>573496</v>
      </c>
      <c r="S129" s="374">
        <v>642000</v>
      </c>
      <c r="T129" s="374">
        <v>921731</v>
      </c>
      <c r="U129" s="472"/>
    </row>
    <row r="130" spans="2:21" x14ac:dyDescent="0.25">
      <c r="B130" s="1"/>
      <c r="C130" s="3"/>
      <c r="D130" s="1"/>
      <c r="H130" s="375" t="s">
        <v>353</v>
      </c>
      <c r="I130" s="377">
        <f>I129-I128</f>
        <v>-2528647.6575000007</v>
      </c>
      <c r="J130" s="377">
        <f>J129-J128</f>
        <v>-292279.28750000056</v>
      </c>
      <c r="K130" s="456">
        <f>K128-K129</f>
        <v>0.7099999999627471</v>
      </c>
      <c r="M130" s="470">
        <f>M128-M129</f>
        <v>-0.40000000002328306</v>
      </c>
      <c r="N130" s="373">
        <f t="shared" ref="N130:T130" si="9">N128-N129</f>
        <v>0.25</v>
      </c>
      <c r="O130" s="378">
        <f t="shared" si="9"/>
        <v>6397.75</v>
      </c>
      <c r="P130" s="378"/>
      <c r="Q130" s="373">
        <f t="shared" si="9"/>
        <v>-108817.54000000004</v>
      </c>
      <c r="R130" s="373">
        <f t="shared" si="9"/>
        <v>-119141</v>
      </c>
      <c r="S130" s="373">
        <f t="shared" si="9"/>
        <v>26781.5</v>
      </c>
      <c r="T130" s="387">
        <f t="shared" si="9"/>
        <v>-45333.5</v>
      </c>
      <c r="U130" s="473"/>
    </row>
    <row r="131" spans="2:21" x14ac:dyDescent="0.25">
      <c r="B131" s="1"/>
      <c r="C131" s="3"/>
      <c r="D131" s="1"/>
      <c r="U131" s="517">
        <f>U128/K128</f>
        <v>0.70238174755049931</v>
      </c>
    </row>
    <row r="132" spans="2:21" x14ac:dyDescent="0.25">
      <c r="B132" s="1"/>
      <c r="C132" s="3"/>
      <c r="D132" s="1"/>
      <c r="L132" s="380"/>
    </row>
    <row r="133" spans="2:21" x14ac:dyDescent="0.25">
      <c r="B133" s="1"/>
      <c r="C133" s="3"/>
      <c r="D133" s="1"/>
    </row>
    <row r="134" spans="2:21" x14ac:dyDescent="0.25">
      <c r="B134" s="1"/>
      <c r="C134" s="3"/>
      <c r="D134" s="1"/>
      <c r="F134" s="3">
        <f>K126*2</f>
        <v>2030000.8399999999</v>
      </c>
      <c r="N134" s="380"/>
    </row>
    <row r="135" spans="2:21" x14ac:dyDescent="0.25">
      <c r="B135" s="1"/>
      <c r="C135" s="3"/>
      <c r="D135" s="1"/>
      <c r="N135" s="373">
        <f>K129-N134</f>
        <v>3865000</v>
      </c>
      <c r="O135" s="380">
        <f>SUM(M128:T128)</f>
        <v>3883651.25</v>
      </c>
    </row>
    <row r="136" spans="2:21" x14ac:dyDescent="0.25">
      <c r="B136" s="1"/>
      <c r="C136" s="3"/>
      <c r="D136" s="1"/>
    </row>
    <row r="137" spans="2:21" ht="30" x14ac:dyDescent="0.25">
      <c r="B137" s="1"/>
      <c r="C137" s="3"/>
      <c r="D137" s="1"/>
      <c r="H137" s="457" t="s">
        <v>472</v>
      </c>
    </row>
    <row r="138" spans="2:21" x14ac:dyDescent="0.25">
      <c r="B138" s="1"/>
      <c r="C138" s="3"/>
      <c r="D138" s="1"/>
      <c r="H138" s="457" t="s">
        <v>473</v>
      </c>
    </row>
    <row r="139" spans="2:21" x14ac:dyDescent="0.25">
      <c r="B139" s="1"/>
      <c r="C139" s="3"/>
      <c r="D139" s="1"/>
      <c r="H139" s="457" t="s">
        <v>474</v>
      </c>
    </row>
    <row r="140" spans="2:21" x14ac:dyDescent="0.25">
      <c r="B140" s="1"/>
      <c r="C140" s="3"/>
      <c r="D140" s="1"/>
      <c r="H140" s="457" t="s">
        <v>475</v>
      </c>
    </row>
    <row r="141" spans="2:21" x14ac:dyDescent="0.25">
      <c r="B141" s="1"/>
      <c r="C141" s="3"/>
      <c r="D141" s="1"/>
      <c r="H141" s="457" t="s">
        <v>476</v>
      </c>
    </row>
    <row r="142" spans="2:21" x14ac:dyDescent="0.25">
      <c r="B142" s="1"/>
      <c r="C142" s="3"/>
      <c r="D142" s="1"/>
      <c r="H142" s="457" t="s">
        <v>477</v>
      </c>
    </row>
    <row r="143" spans="2:21" x14ac:dyDescent="0.25">
      <c r="B143" s="1"/>
      <c r="C143" s="3"/>
      <c r="D143" s="1"/>
      <c r="H143" s="457" t="s">
        <v>478</v>
      </c>
    </row>
    <row r="144" spans="2:21" x14ac:dyDescent="0.25">
      <c r="B144" s="1"/>
      <c r="C144" s="3"/>
      <c r="D144" s="1"/>
      <c r="H144" s="457"/>
    </row>
    <row r="145" spans="2:4" x14ac:dyDescent="0.25">
      <c r="B145" s="1"/>
      <c r="C145" s="3"/>
      <c r="D145" s="1"/>
    </row>
  </sheetData>
  <mergeCells count="93">
    <mergeCell ref="A46:A75"/>
    <mergeCell ref="A77:A104"/>
    <mergeCell ref="B99:B104"/>
    <mergeCell ref="C99:H99"/>
    <mergeCell ref="C102:H102"/>
    <mergeCell ref="E88:E89"/>
    <mergeCell ref="G73:H73"/>
    <mergeCell ref="C83:C84"/>
    <mergeCell ref="D83:D84"/>
    <mergeCell ref="E83:E84"/>
    <mergeCell ref="C100:H100"/>
    <mergeCell ref="C86:C87"/>
    <mergeCell ref="B77:B95"/>
    <mergeCell ref="C78:C82"/>
    <mergeCell ref="D78:D82"/>
    <mergeCell ref="C65:H65"/>
    <mergeCell ref="C66:H66"/>
    <mergeCell ref="C68:H68"/>
    <mergeCell ref="C70:H70"/>
    <mergeCell ref="D86:D87"/>
    <mergeCell ref="E86:E87"/>
    <mergeCell ref="C88:C89"/>
    <mergeCell ref="D88:D89"/>
    <mergeCell ref="B126:H126"/>
    <mergeCell ref="A128:H128"/>
    <mergeCell ref="C119:H119"/>
    <mergeCell ref="C120:H120"/>
    <mergeCell ref="C121:H121"/>
    <mergeCell ref="C122:H122"/>
    <mergeCell ref="D123:H123"/>
    <mergeCell ref="A106:A125"/>
    <mergeCell ref="B106:B116"/>
    <mergeCell ref="B117:B125"/>
    <mergeCell ref="C117:H117"/>
    <mergeCell ref="C118:H118"/>
    <mergeCell ref="C125:H125"/>
    <mergeCell ref="C106:C112"/>
    <mergeCell ref="D106:D112"/>
    <mergeCell ref="C38:H38"/>
    <mergeCell ref="C43:H43"/>
    <mergeCell ref="G39:H39"/>
    <mergeCell ref="B46:B63"/>
    <mergeCell ref="C103:H103"/>
    <mergeCell ref="C101:H101"/>
    <mergeCell ref="C97:C98"/>
    <mergeCell ref="D97:D98"/>
    <mergeCell ref="C74:H74"/>
    <mergeCell ref="C62:C63"/>
    <mergeCell ref="D62:D63"/>
    <mergeCell ref="G67:H67"/>
    <mergeCell ref="G69:H69"/>
    <mergeCell ref="B64:B75"/>
    <mergeCell ref="C72:H72"/>
    <mergeCell ref="C64:H64"/>
    <mergeCell ref="B45:H45"/>
    <mergeCell ref="C49:C52"/>
    <mergeCell ref="D49:D52"/>
    <mergeCell ref="C54:C56"/>
    <mergeCell ref="D54:D56"/>
    <mergeCell ref="C46:C47"/>
    <mergeCell ref="D46:D47"/>
    <mergeCell ref="G15:H15"/>
    <mergeCell ref="A20:A44"/>
    <mergeCell ref="B20:B34"/>
    <mergeCell ref="C21:C23"/>
    <mergeCell ref="D21:D23"/>
    <mergeCell ref="C24:C25"/>
    <mergeCell ref="B19:H19"/>
    <mergeCell ref="D24:D25"/>
    <mergeCell ref="C27:C28"/>
    <mergeCell ref="D27:D28"/>
    <mergeCell ref="C30:C31"/>
    <mergeCell ref="D30:D31"/>
    <mergeCell ref="C44:H44"/>
    <mergeCell ref="B35:B44"/>
    <mergeCell ref="C35:H35"/>
    <mergeCell ref="C37:H37"/>
    <mergeCell ref="C104:H104"/>
    <mergeCell ref="B105:H105"/>
    <mergeCell ref="A3:A18"/>
    <mergeCell ref="B3:B10"/>
    <mergeCell ref="C3:C4"/>
    <mergeCell ref="D3:D4"/>
    <mergeCell ref="C5:C6"/>
    <mergeCell ref="D5:D6"/>
    <mergeCell ref="C7:C9"/>
    <mergeCell ref="D7:D9"/>
    <mergeCell ref="B11:B18"/>
    <mergeCell ref="C11:H11"/>
    <mergeCell ref="D12:H12"/>
    <mergeCell ref="C13:H13"/>
    <mergeCell ref="C17:H17"/>
    <mergeCell ref="C18:H1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29A466329ED240A78DE03404294E79" ma:contentTypeVersion="14" ma:contentTypeDescription="Create a new document." ma:contentTypeScope="" ma:versionID="4246cf1f96882575e4244ad9127b5490">
  <xsd:schema xmlns:xsd="http://www.w3.org/2001/XMLSchema" xmlns:xs="http://www.w3.org/2001/XMLSchema" xmlns:p="http://schemas.microsoft.com/office/2006/metadata/properties" xmlns:ns2="7c8bef9f-bdee-4940-96c4-9ade69a3c118" xmlns:ns3="d4e8443b-09b9-4fac-b1fd-ad18978bd612" targetNamespace="http://schemas.microsoft.com/office/2006/metadata/properties" ma:root="true" ma:fieldsID="f31080644faef5c8c8a62ff1363342ba" ns2:_="" ns3:_="">
    <xsd:import namespace="7c8bef9f-bdee-4940-96c4-9ade69a3c118"/>
    <xsd:import namespace="d4e8443b-09b9-4fac-b1fd-ad18978bd6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bef9f-bdee-4940-96c4-9ade69a3c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4d33740-4b3b-42c9-bab2-ea341cd116f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e8443b-09b9-4fac-b1fd-ad18978bd6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286fc9-b3fe-4fd3-ac8d-c9ca6ee9a980}" ma:internalName="TaxCatchAll" ma:showField="CatchAllData" ma:web="d4e8443b-09b9-4fac-b1fd-ad18978bd6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e8443b-09b9-4fac-b1fd-ad18978bd612" xsi:nil="true"/>
    <lcf76f155ced4ddcb4097134ff3c332f xmlns="7c8bef9f-bdee-4940-96c4-9ade69a3c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208325-FF1C-41ED-9E26-404B24904129}">
  <ds:schemaRefs>
    <ds:schemaRef ds:uri="http://schemas.microsoft.com/sharepoint/v3/contenttype/forms"/>
  </ds:schemaRefs>
</ds:datastoreItem>
</file>

<file path=customXml/itemProps2.xml><?xml version="1.0" encoding="utf-8"?>
<ds:datastoreItem xmlns:ds="http://schemas.openxmlformats.org/officeDocument/2006/customXml" ds:itemID="{28969F20-D3D3-4DBB-B1EE-66690E1ED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bef9f-bdee-4940-96c4-9ade69a3c118"/>
    <ds:schemaRef ds:uri="d4e8443b-09b9-4fac-b1fd-ad18978bd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488DA-80E1-4F27-B9B7-B1DF34BFF9B1}">
  <ds:schemaRefs>
    <ds:schemaRef ds:uri="http://schemas.microsoft.com/office/2006/metadata/properties"/>
    <ds:schemaRef ds:uri="http://schemas.microsoft.com/office/infopath/2007/PartnerControls"/>
    <ds:schemaRef ds:uri="d4e8443b-09b9-4fac-b1fd-ad18978bd612"/>
    <ds:schemaRef ds:uri="7c8bef9f-bdee-4940-96c4-9ade69a3c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SOW, Budget and Schedule</vt:lpstr>
      <vt:lpstr>Revised Budget</vt:lpstr>
      <vt:lpstr>Revised Budget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Daneel</dc:creator>
  <cp:keywords/>
  <dc:description/>
  <cp:lastModifiedBy>Sam Ryumugabe</cp:lastModifiedBy>
  <cp:revision/>
  <dcterms:created xsi:type="dcterms:W3CDTF">2024-02-28T09:33:25Z</dcterms:created>
  <dcterms:modified xsi:type="dcterms:W3CDTF">2026-03-04T11:32:32Z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0x0101004F29A466329ED240A78DE03404294E79</vt:lpwstr>
  </property>
  <property fmtid="{D5CDD505-2E9C-101B-9397-08002B2CF9AE}" pid="3" name="MediaServiceImageTags">
    <vt:lpwstr/>
  </property>
</Properties>
</file>