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Desktop\Trinity Metals\Procurement\Nyakabingo ECD_BoQ and EOI\Adjudication\Adjudication 4\"/>
    </mc:Choice>
  </mc:AlternateContent>
  <xr:revisionPtr revIDLastSave="0" documentId="13_ncr:1_{C8F867B8-1CF2-447F-AC90-DEE784395AA7}" xr6:coauthVersionLast="47" xr6:coauthVersionMax="47" xr10:uidLastSave="{00000000-0000-0000-0000-000000000000}"/>
  <bookViews>
    <workbookView xWindow="-120" yWindow="-120" windowWidth="20730" windowHeight="11160" firstSheet="4" activeTab="7" xr2:uid="{00000000-000D-0000-FFFF-FFFF00000000}"/>
  </bookViews>
  <sheets>
    <sheet name="Cost summary" sheetId="10" r:id="rId1"/>
    <sheet name="ECD Classes" sheetId="1" r:id="rId2"/>
    <sheet name="Office space" sheetId="6" r:id="rId3"/>
    <sheet name="Sleeping Area" sheetId="4" r:id="rId4"/>
    <sheet name="Dining Area" sheetId="2" r:id="rId5"/>
    <sheet name="Toilet &amp; Bathroom" sheetId="5" r:id="rId6"/>
    <sheet name="Stock &amp; Kitchen" sheetId="3" r:id="rId7"/>
    <sheet name="Roofing&amp; Ceiling&amp;Paver" sheetId="7" r:id="rId8"/>
    <sheet name="Summary" sheetId="9"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351" i="5" l="1"/>
  <c r="F121" i="7"/>
  <c r="E235" i="5"/>
  <c r="F336" i="5"/>
  <c r="E336" i="5"/>
  <c r="F344" i="5"/>
  <c r="F2" i="7" l="1"/>
  <c r="E196" i="6"/>
  <c r="E125" i="6"/>
  <c r="E136" i="6"/>
  <c r="E147" i="6"/>
  <c r="E160" i="6"/>
  <c r="E30" i="6"/>
  <c r="E22" i="6"/>
  <c r="E14" i="6"/>
  <c r="E7" i="6"/>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 i="9"/>
  <c r="C8" i="10"/>
  <c r="H71" i="7"/>
  <c r="H70" i="7"/>
  <c r="E110" i="7"/>
  <c r="F119" i="7"/>
  <c r="F118" i="7"/>
  <c r="F115" i="7"/>
  <c r="F114" i="7"/>
  <c r="F110" i="7"/>
  <c r="F111" i="7" s="1"/>
  <c r="E107" i="7" s="1"/>
  <c r="F107" i="7" s="1"/>
  <c r="F109" i="7"/>
  <c r="F93" i="7"/>
  <c r="F106" i="7"/>
  <c r="F101" i="7"/>
  <c r="F102" i="7"/>
  <c r="F103" i="7"/>
  <c r="F104" i="7"/>
  <c r="F105" i="7"/>
  <c r="F100" i="7"/>
  <c r="F96" i="7"/>
  <c r="F97" i="7" s="1"/>
  <c r="E93" i="7" s="1"/>
  <c r="F95" i="7"/>
  <c r="F89" i="7"/>
  <c r="F88" i="7"/>
  <c r="F90" i="7" s="1"/>
  <c r="E80" i="7" s="1"/>
  <c r="F80" i="7" s="1"/>
  <c r="F85" i="7"/>
  <c r="F83" i="7"/>
  <c r="F84" i="7"/>
  <c r="F82" i="7"/>
  <c r="F77" i="7"/>
  <c r="F76" i="7"/>
  <c r="F71" i="7"/>
  <c r="F72" i="7"/>
  <c r="F70" i="7"/>
  <c r="F45" i="7"/>
  <c r="E45" i="7"/>
  <c r="F64" i="7"/>
  <c r="F63" i="7"/>
  <c r="F62" i="7"/>
  <c r="F59" i="7"/>
  <c r="F58" i="7"/>
  <c r="F57" i="7"/>
  <c r="F54" i="7"/>
  <c r="F48" i="7"/>
  <c r="F49" i="7"/>
  <c r="F50" i="7"/>
  <c r="F51" i="7"/>
  <c r="F52" i="7"/>
  <c r="F53" i="7"/>
  <c r="F47" i="7"/>
  <c r="F35" i="7"/>
  <c r="E35" i="7"/>
  <c r="F44" i="7"/>
  <c r="F43" i="7"/>
  <c r="F42" i="7"/>
  <c r="F40" i="7"/>
  <c r="F38" i="7"/>
  <c r="F39" i="7"/>
  <c r="F37" i="7"/>
  <c r="F33" i="7"/>
  <c r="F32" i="7"/>
  <c r="F31" i="7"/>
  <c r="F27" i="7"/>
  <c r="F26" i="7"/>
  <c r="F17" i="7"/>
  <c r="F18" i="7"/>
  <c r="F19" i="7"/>
  <c r="F20" i="7"/>
  <c r="F21" i="7"/>
  <c r="F22" i="7"/>
  <c r="F16" i="7"/>
  <c r="F13" i="7"/>
  <c r="F12" i="7"/>
  <c r="F11" i="7"/>
  <c r="F7" i="7"/>
  <c r="F8" i="7"/>
  <c r="F6" i="7"/>
  <c r="F9" i="7" s="1"/>
  <c r="E4" i="7" s="1"/>
  <c r="F4" i="7" s="1"/>
  <c r="F319" i="3"/>
  <c r="E319" i="3"/>
  <c r="F327" i="3"/>
  <c r="F326" i="3"/>
  <c r="F325" i="3"/>
  <c r="F322" i="3"/>
  <c r="F321" i="3"/>
  <c r="E321" i="3"/>
  <c r="E325" i="3"/>
  <c r="E326" i="3" s="1"/>
  <c r="F308" i="3"/>
  <c r="E308" i="3"/>
  <c r="F316" i="3"/>
  <c r="F315" i="3"/>
  <c r="F314" i="3"/>
  <c r="F311" i="3"/>
  <c r="F310" i="3"/>
  <c r="E310" i="3"/>
  <c r="E314" i="3"/>
  <c r="E315" i="3" s="1"/>
  <c r="F304" i="3"/>
  <c r="F303" i="3"/>
  <c r="F300" i="3"/>
  <c r="F293" i="3"/>
  <c r="F294" i="3"/>
  <c r="F295" i="3"/>
  <c r="F296" i="3"/>
  <c r="F297" i="3"/>
  <c r="F298" i="3"/>
  <c r="F299" i="3"/>
  <c r="F292" i="3"/>
  <c r="E293" i="3"/>
  <c r="E292" i="3"/>
  <c r="F287" i="3"/>
  <c r="E277" i="3" s="1"/>
  <c r="F277" i="3" s="1"/>
  <c r="F286" i="3"/>
  <c r="F285" i="3"/>
  <c r="F282" i="3"/>
  <c r="F280" i="3"/>
  <c r="F281" i="3"/>
  <c r="F279" i="3"/>
  <c r="E264" i="3"/>
  <c r="F264" i="3" s="1"/>
  <c r="E263" i="3"/>
  <c r="F263" i="3" s="1"/>
  <c r="F274" i="3"/>
  <c r="F273" i="3"/>
  <c r="F272" i="3"/>
  <c r="F265" i="3"/>
  <c r="F266" i="3"/>
  <c r="F267" i="3"/>
  <c r="F268" i="3"/>
  <c r="F248" i="3"/>
  <c r="E248" i="3"/>
  <c r="F257" i="3"/>
  <c r="F256" i="3"/>
  <c r="F255" i="3"/>
  <c r="F252" i="3"/>
  <c r="F251" i="3"/>
  <c r="F250" i="3"/>
  <c r="F236" i="3"/>
  <c r="E236" i="3"/>
  <c r="F245" i="3"/>
  <c r="F244" i="3"/>
  <c r="F243" i="3"/>
  <c r="F240" i="3"/>
  <c r="F239" i="3"/>
  <c r="F238" i="3"/>
  <c r="F217" i="3"/>
  <c r="E217" i="3"/>
  <c r="F234" i="3"/>
  <c r="F233" i="3"/>
  <c r="F232" i="3"/>
  <c r="F229" i="3"/>
  <c r="F228" i="3"/>
  <c r="F227" i="3"/>
  <c r="F224" i="3"/>
  <c r="F221" i="3"/>
  <c r="F222" i="3"/>
  <c r="F223" i="3"/>
  <c r="F220" i="3"/>
  <c r="F209" i="3"/>
  <c r="E197" i="3" s="1"/>
  <c r="F197" i="3" s="1"/>
  <c r="F214" i="3"/>
  <c r="F213" i="3"/>
  <c r="F212" i="3"/>
  <c r="F208" i="3"/>
  <c r="F207" i="3"/>
  <c r="F204" i="3"/>
  <c r="F200" i="3"/>
  <c r="F201" i="3"/>
  <c r="F202" i="3"/>
  <c r="F203" i="3"/>
  <c r="F199" i="3"/>
  <c r="F183" i="3"/>
  <c r="E183" i="3"/>
  <c r="F189" i="3"/>
  <c r="F194" i="3"/>
  <c r="F193" i="3"/>
  <c r="F192" i="3"/>
  <c r="F187" i="3"/>
  <c r="F188" i="3"/>
  <c r="F186" i="3"/>
  <c r="F172" i="3"/>
  <c r="E172" i="3"/>
  <c r="F180" i="3"/>
  <c r="F179" i="3"/>
  <c r="F178" i="3"/>
  <c r="F175" i="3"/>
  <c r="F174" i="3"/>
  <c r="F160" i="3"/>
  <c r="E160" i="3"/>
  <c r="F170" i="3"/>
  <c r="F169" i="3"/>
  <c r="F168" i="3"/>
  <c r="F165" i="3"/>
  <c r="F163" i="3"/>
  <c r="F164" i="3"/>
  <c r="F162" i="3"/>
  <c r="F147" i="3"/>
  <c r="E147" i="3"/>
  <c r="F157" i="3"/>
  <c r="F156" i="3"/>
  <c r="F154" i="3"/>
  <c r="F153" i="3"/>
  <c r="F150" i="3"/>
  <c r="F149" i="3"/>
  <c r="F136" i="3"/>
  <c r="E136" i="3"/>
  <c r="F146" i="3"/>
  <c r="F145" i="3"/>
  <c r="F143" i="3"/>
  <c r="F142" i="3"/>
  <c r="F139" i="3"/>
  <c r="F138" i="3"/>
  <c r="F125" i="3"/>
  <c r="E125" i="3"/>
  <c r="F135" i="3"/>
  <c r="F134" i="3"/>
  <c r="F132" i="3"/>
  <c r="F131" i="3"/>
  <c r="F128" i="3"/>
  <c r="F127" i="3"/>
  <c r="F112" i="3"/>
  <c r="E112" i="3"/>
  <c r="F122" i="3"/>
  <c r="F121" i="3"/>
  <c r="F120" i="3"/>
  <c r="F116" i="3"/>
  <c r="F115" i="3"/>
  <c r="F114" i="3"/>
  <c r="F100" i="3"/>
  <c r="E100" i="3"/>
  <c r="F110" i="3"/>
  <c r="F109" i="3"/>
  <c r="F108" i="3"/>
  <c r="F105" i="3"/>
  <c r="F103" i="3"/>
  <c r="F104" i="3"/>
  <c r="F102" i="3"/>
  <c r="F89" i="3"/>
  <c r="E89" i="3"/>
  <c r="F99" i="3"/>
  <c r="F98" i="3"/>
  <c r="F97" i="3"/>
  <c r="F94" i="3"/>
  <c r="F92" i="3"/>
  <c r="F93" i="3"/>
  <c r="F91" i="3"/>
  <c r="F78" i="3"/>
  <c r="E78" i="3"/>
  <c r="F88" i="3"/>
  <c r="F87" i="3"/>
  <c r="F86" i="3"/>
  <c r="F83" i="3"/>
  <c r="F81" i="3"/>
  <c r="F82" i="3"/>
  <c r="F80" i="3"/>
  <c r="F58" i="3"/>
  <c r="E58" i="3"/>
  <c r="F75" i="3"/>
  <c r="F73" i="3"/>
  <c r="F74" i="3"/>
  <c r="F72" i="3"/>
  <c r="F69" i="3"/>
  <c r="F68" i="3"/>
  <c r="F65" i="3"/>
  <c r="F62" i="3"/>
  <c r="F63" i="3"/>
  <c r="F64" i="3"/>
  <c r="F61" i="3"/>
  <c r="F57" i="3"/>
  <c r="E40" i="3" s="1"/>
  <c r="F40" i="3" s="1"/>
  <c r="F55" i="3"/>
  <c r="F56" i="3"/>
  <c r="F54" i="3"/>
  <c r="F51" i="3"/>
  <c r="F50" i="3"/>
  <c r="F47" i="3"/>
  <c r="F44" i="3"/>
  <c r="F45" i="3"/>
  <c r="F46" i="3"/>
  <c r="F43" i="3"/>
  <c r="F30" i="3"/>
  <c r="E30" i="3"/>
  <c r="F37" i="3"/>
  <c r="F36" i="3"/>
  <c r="F33" i="3"/>
  <c r="F32" i="3"/>
  <c r="F22" i="3"/>
  <c r="E22" i="3"/>
  <c r="F29" i="3"/>
  <c r="F28" i="3"/>
  <c r="F25" i="3"/>
  <c r="F24" i="3"/>
  <c r="F20" i="3"/>
  <c r="F21" i="3" s="1"/>
  <c r="E14" i="3" s="1"/>
  <c r="F14" i="3" s="1"/>
  <c r="F17" i="3"/>
  <c r="F16" i="3"/>
  <c r="F10" i="3"/>
  <c r="F9" i="3"/>
  <c r="F11" i="3" s="1"/>
  <c r="E7" i="3" s="1"/>
  <c r="F7" i="3" s="1"/>
  <c r="F5" i="3"/>
  <c r="E3" i="3" s="1"/>
  <c r="F3" i="3" s="1"/>
  <c r="F348" i="5"/>
  <c r="F347" i="5"/>
  <c r="F340" i="5"/>
  <c r="F341" i="5"/>
  <c r="F342" i="5"/>
  <c r="F343" i="5"/>
  <c r="F339" i="5"/>
  <c r="F327" i="5"/>
  <c r="E327" i="5"/>
  <c r="F335" i="5"/>
  <c r="F334" i="5"/>
  <c r="F333" i="5"/>
  <c r="F330" i="5"/>
  <c r="F329" i="5"/>
  <c r="E329" i="5"/>
  <c r="E333" i="5"/>
  <c r="E334" i="5" s="1"/>
  <c r="F318" i="5"/>
  <c r="E318" i="5"/>
  <c r="F326" i="5"/>
  <c r="F325" i="5"/>
  <c r="F324" i="5"/>
  <c r="F321" i="5"/>
  <c r="F320" i="5"/>
  <c r="E320" i="5"/>
  <c r="E324" i="5"/>
  <c r="E325" i="5" s="1"/>
  <c r="F307" i="5"/>
  <c r="E307" i="5"/>
  <c r="E309" i="5"/>
  <c r="F309" i="5" s="1"/>
  <c r="F310" i="5" s="1"/>
  <c r="E313" i="5"/>
  <c r="F313" i="5" s="1"/>
  <c r="E291" i="5"/>
  <c r="F291" i="5" s="1"/>
  <c r="F299" i="5" s="1"/>
  <c r="E289" i="5" s="1"/>
  <c r="F289" i="5" s="1"/>
  <c r="F304" i="5"/>
  <c r="F303" i="5"/>
  <c r="F302" i="5"/>
  <c r="F292" i="5"/>
  <c r="F293" i="5"/>
  <c r="F294" i="5"/>
  <c r="F295" i="5"/>
  <c r="F296" i="5"/>
  <c r="F297" i="5"/>
  <c r="F298" i="5"/>
  <c r="E292" i="5"/>
  <c r="F276" i="5"/>
  <c r="E276" i="5"/>
  <c r="F286" i="5"/>
  <c r="F285" i="5"/>
  <c r="F284" i="5"/>
  <c r="F281" i="5"/>
  <c r="F279" i="5"/>
  <c r="F280" i="5"/>
  <c r="F278" i="5"/>
  <c r="F259" i="5"/>
  <c r="E259" i="5"/>
  <c r="F273" i="5"/>
  <c r="F272" i="5"/>
  <c r="F271" i="5"/>
  <c r="F268" i="5"/>
  <c r="F263" i="5"/>
  <c r="F264" i="5"/>
  <c r="F265" i="5"/>
  <c r="F266" i="5"/>
  <c r="F267" i="5"/>
  <c r="F262" i="5"/>
  <c r="E263" i="5"/>
  <c r="E262" i="5"/>
  <c r="F255" i="5"/>
  <c r="F256" i="5" s="1"/>
  <c r="E247" i="5" s="1"/>
  <c r="F247" i="5" s="1"/>
  <c r="F254" i="5"/>
  <c r="F251" i="5"/>
  <c r="F250" i="5"/>
  <c r="F249" i="5"/>
  <c r="F235" i="5"/>
  <c r="F244" i="5"/>
  <c r="F243" i="5"/>
  <c r="F242" i="5"/>
  <c r="F239" i="5"/>
  <c r="F238" i="5"/>
  <c r="F237" i="5"/>
  <c r="F228" i="5"/>
  <c r="F233" i="5"/>
  <c r="F232" i="5"/>
  <c r="F231" i="5"/>
  <c r="F227" i="5"/>
  <c r="F226" i="5"/>
  <c r="F223" i="5"/>
  <c r="F220" i="5"/>
  <c r="F221" i="5"/>
  <c r="F222" i="5"/>
  <c r="F219" i="5"/>
  <c r="F196" i="5"/>
  <c r="E196" i="5"/>
  <c r="F213" i="5"/>
  <c r="F212" i="5"/>
  <c r="F211" i="5"/>
  <c r="F208" i="5"/>
  <c r="F207" i="5"/>
  <c r="F206" i="5"/>
  <c r="F203" i="5"/>
  <c r="F199" i="5"/>
  <c r="F200" i="5"/>
  <c r="F201" i="5"/>
  <c r="F202" i="5"/>
  <c r="F198" i="5"/>
  <c r="F182" i="5"/>
  <c r="E182" i="5"/>
  <c r="F193" i="5"/>
  <c r="F192" i="5"/>
  <c r="F191" i="5"/>
  <c r="F188" i="5"/>
  <c r="F186" i="5"/>
  <c r="F187" i="5"/>
  <c r="F185" i="5"/>
  <c r="F171" i="5"/>
  <c r="E171" i="5"/>
  <c r="F179" i="5"/>
  <c r="F178" i="5"/>
  <c r="F177" i="5"/>
  <c r="F174" i="5"/>
  <c r="F173" i="5"/>
  <c r="F160" i="5"/>
  <c r="E160" i="5"/>
  <c r="F170" i="5"/>
  <c r="F169" i="5"/>
  <c r="F168" i="5"/>
  <c r="F165" i="5"/>
  <c r="F163" i="5"/>
  <c r="F164" i="5"/>
  <c r="F162" i="5"/>
  <c r="F147" i="5"/>
  <c r="E147" i="5"/>
  <c r="F157" i="5"/>
  <c r="F156" i="5"/>
  <c r="F154" i="5"/>
  <c r="F153" i="5"/>
  <c r="F150" i="5"/>
  <c r="F149" i="5"/>
  <c r="F136" i="5"/>
  <c r="E136" i="5"/>
  <c r="F146" i="5"/>
  <c r="F145" i="5"/>
  <c r="F143" i="5"/>
  <c r="F142" i="5"/>
  <c r="F139" i="5"/>
  <c r="F138" i="5"/>
  <c r="F125" i="5"/>
  <c r="E125" i="5"/>
  <c r="F135" i="5"/>
  <c r="F134" i="5"/>
  <c r="F132" i="5"/>
  <c r="F131" i="5"/>
  <c r="F128" i="5"/>
  <c r="F127" i="5"/>
  <c r="F112" i="5"/>
  <c r="E112" i="5"/>
  <c r="F122" i="5"/>
  <c r="F121" i="5"/>
  <c r="F120" i="5"/>
  <c r="F116" i="5"/>
  <c r="F115" i="5"/>
  <c r="F114" i="5"/>
  <c r="F100" i="5"/>
  <c r="E100" i="5"/>
  <c r="F110" i="5"/>
  <c r="F109" i="5"/>
  <c r="F108" i="5"/>
  <c r="F105" i="5"/>
  <c r="F103" i="5"/>
  <c r="F104" i="5"/>
  <c r="F102" i="5"/>
  <c r="F89" i="5"/>
  <c r="E89" i="5"/>
  <c r="F99" i="5"/>
  <c r="F98" i="5"/>
  <c r="F97" i="5"/>
  <c r="F94" i="5"/>
  <c r="F92" i="5"/>
  <c r="F93" i="5"/>
  <c r="F91" i="5"/>
  <c r="F78" i="5"/>
  <c r="E78" i="5"/>
  <c r="F88" i="5"/>
  <c r="F87" i="5"/>
  <c r="F86" i="5"/>
  <c r="F83" i="5"/>
  <c r="F81" i="5"/>
  <c r="F82" i="5"/>
  <c r="F80" i="5"/>
  <c r="F58" i="5"/>
  <c r="E58" i="5"/>
  <c r="F75" i="5"/>
  <c r="F73" i="5"/>
  <c r="F74" i="5"/>
  <c r="F72" i="5"/>
  <c r="F69" i="5"/>
  <c r="F68" i="5"/>
  <c r="F65" i="5"/>
  <c r="F62" i="5"/>
  <c r="F63" i="5"/>
  <c r="F64" i="5"/>
  <c r="F61" i="5"/>
  <c r="F55" i="5"/>
  <c r="F57" i="5" s="1"/>
  <c r="E40" i="5" s="1"/>
  <c r="F40" i="5" s="1"/>
  <c r="F56" i="5"/>
  <c r="F54" i="5"/>
  <c r="F51" i="5"/>
  <c r="F50" i="5"/>
  <c r="F47" i="5"/>
  <c r="F44" i="5"/>
  <c r="F45" i="5"/>
  <c r="F46" i="5"/>
  <c r="F43" i="5"/>
  <c r="F30" i="5"/>
  <c r="E30" i="5"/>
  <c r="F37" i="5"/>
  <c r="F36" i="5"/>
  <c r="F33" i="5"/>
  <c r="F32" i="5"/>
  <c r="F29" i="5"/>
  <c r="F28" i="5"/>
  <c r="F24" i="5"/>
  <c r="F25" i="5" s="1"/>
  <c r="E22" i="5" s="1"/>
  <c r="F22" i="5" s="1"/>
  <c r="F14" i="5"/>
  <c r="E14" i="5"/>
  <c r="F21" i="5"/>
  <c r="F20" i="5"/>
  <c r="F17" i="5"/>
  <c r="F16" i="5"/>
  <c r="F7" i="5"/>
  <c r="E7" i="5"/>
  <c r="F11" i="5"/>
  <c r="F10" i="5"/>
  <c r="F9" i="5"/>
  <c r="F3" i="5"/>
  <c r="E3" i="5"/>
  <c r="F6" i="5"/>
  <c r="F5" i="5"/>
  <c r="C5" i="10"/>
  <c r="F326" i="2"/>
  <c r="E326" i="2"/>
  <c r="E328" i="2"/>
  <c r="F328" i="2"/>
  <c r="F329" i="2" s="1"/>
  <c r="E332" i="2"/>
  <c r="E333" i="2" s="1"/>
  <c r="F333" i="2" s="1"/>
  <c r="F317" i="2"/>
  <c r="E317" i="2"/>
  <c r="F325" i="2"/>
  <c r="F324" i="2"/>
  <c r="F323" i="2"/>
  <c r="F320" i="2"/>
  <c r="F319" i="2"/>
  <c r="E319" i="2"/>
  <c r="E323" i="2" s="1"/>
  <c r="E324" i="2" s="1"/>
  <c r="F306" i="2"/>
  <c r="E306" i="2"/>
  <c r="F314" i="2"/>
  <c r="F313" i="2"/>
  <c r="F312" i="2"/>
  <c r="F309" i="2"/>
  <c r="F308" i="2"/>
  <c r="E308" i="2"/>
  <c r="E312" i="2" s="1"/>
  <c r="E313" i="2" s="1"/>
  <c r="E290" i="2"/>
  <c r="F290" i="2" s="1"/>
  <c r="F298" i="2" s="1"/>
  <c r="F302" i="2"/>
  <c r="F301" i="2"/>
  <c r="F303" i="2" s="1"/>
  <c r="F291" i="2"/>
  <c r="F292" i="2"/>
  <c r="F293" i="2"/>
  <c r="F294" i="2"/>
  <c r="F295" i="2"/>
  <c r="F296" i="2"/>
  <c r="F297" i="2"/>
  <c r="E291" i="2"/>
  <c r="F275" i="2"/>
  <c r="E275" i="2"/>
  <c r="F285" i="2"/>
  <c r="F284" i="2"/>
  <c r="F283" i="2"/>
  <c r="F280" i="2"/>
  <c r="F278" i="2"/>
  <c r="F279" i="2"/>
  <c r="F277" i="2"/>
  <c r="F259" i="2"/>
  <c r="E259" i="2"/>
  <c r="F272" i="2"/>
  <c r="F271" i="2"/>
  <c r="F270" i="2"/>
  <c r="F267" i="2"/>
  <c r="F262" i="2"/>
  <c r="F263" i="2"/>
  <c r="F264" i="2"/>
  <c r="F265" i="2"/>
  <c r="F266" i="2"/>
  <c r="F261" i="2"/>
  <c r="E262" i="2"/>
  <c r="E261" i="2"/>
  <c r="F247" i="2"/>
  <c r="E247" i="2"/>
  <c r="F256" i="2"/>
  <c r="F255" i="2"/>
  <c r="F254" i="2"/>
  <c r="F251" i="2"/>
  <c r="F250" i="2"/>
  <c r="F249" i="2"/>
  <c r="F235" i="2"/>
  <c r="E235" i="2"/>
  <c r="F244" i="2"/>
  <c r="F243" i="2"/>
  <c r="F242" i="2"/>
  <c r="F239" i="2"/>
  <c r="F238" i="2"/>
  <c r="F237" i="2"/>
  <c r="F233" i="2"/>
  <c r="E216" i="2" s="1"/>
  <c r="F216" i="2" s="1"/>
  <c r="F232" i="2"/>
  <c r="F231" i="2"/>
  <c r="F228" i="2"/>
  <c r="F227" i="2"/>
  <c r="F226" i="2"/>
  <c r="F223" i="2"/>
  <c r="F220" i="2"/>
  <c r="F221" i="2"/>
  <c r="F222" i="2"/>
  <c r="F219" i="2"/>
  <c r="F212" i="2"/>
  <c r="F211" i="2"/>
  <c r="F213" i="2" s="1"/>
  <c r="F207" i="2"/>
  <c r="F208" i="2" s="1"/>
  <c r="F206" i="2"/>
  <c r="F203" i="2"/>
  <c r="F199" i="2"/>
  <c r="F200" i="2"/>
  <c r="F201" i="2"/>
  <c r="F202" i="2"/>
  <c r="F198" i="2"/>
  <c r="F192" i="2"/>
  <c r="F193" i="2" s="1"/>
  <c r="E182" i="2" s="1"/>
  <c r="F182" i="2" s="1"/>
  <c r="F191" i="2"/>
  <c r="F188" i="2"/>
  <c r="F186" i="2"/>
  <c r="F187" i="2"/>
  <c r="F185" i="2"/>
  <c r="F179" i="2"/>
  <c r="F178" i="2"/>
  <c r="F177" i="2"/>
  <c r="F173" i="2"/>
  <c r="F174" i="2" s="1"/>
  <c r="E171" i="2" s="1"/>
  <c r="F171" i="2" s="1"/>
  <c r="F160" i="2"/>
  <c r="E160" i="2"/>
  <c r="F170" i="2"/>
  <c r="F169" i="2"/>
  <c r="F168" i="2"/>
  <c r="F165" i="2"/>
  <c r="F163" i="2"/>
  <c r="F164" i="2"/>
  <c r="F162" i="2"/>
  <c r="F147" i="2"/>
  <c r="E147" i="2"/>
  <c r="F157" i="2"/>
  <c r="F156" i="2"/>
  <c r="F154" i="2"/>
  <c r="F153" i="2"/>
  <c r="F150" i="2"/>
  <c r="F149" i="2"/>
  <c r="F136" i="2"/>
  <c r="E136" i="2"/>
  <c r="F146" i="2"/>
  <c r="F145" i="2"/>
  <c r="F143" i="2"/>
  <c r="F142" i="2"/>
  <c r="F139" i="2"/>
  <c r="F138" i="2"/>
  <c r="F125" i="2"/>
  <c r="E125" i="2"/>
  <c r="F135" i="2"/>
  <c r="F134" i="2"/>
  <c r="F132" i="2"/>
  <c r="F131" i="2"/>
  <c r="F128" i="2"/>
  <c r="F127" i="2"/>
  <c r="F112" i="2"/>
  <c r="E112" i="2"/>
  <c r="F122" i="2"/>
  <c r="F121" i="2"/>
  <c r="F120" i="2"/>
  <c r="F116" i="2"/>
  <c r="F115" i="2"/>
  <c r="F114" i="2"/>
  <c r="F100" i="2"/>
  <c r="E100" i="2"/>
  <c r="F110" i="2"/>
  <c r="F109" i="2"/>
  <c r="F108" i="2"/>
  <c r="F105" i="2"/>
  <c r="F103" i="2"/>
  <c r="F104" i="2"/>
  <c r="F102" i="2"/>
  <c r="F89" i="2"/>
  <c r="E89" i="2"/>
  <c r="F99" i="2"/>
  <c r="F98" i="2"/>
  <c r="F97" i="2"/>
  <c r="F94" i="2"/>
  <c r="F92" i="2"/>
  <c r="F93" i="2"/>
  <c r="F91" i="2"/>
  <c r="F87" i="2"/>
  <c r="F88" i="2" s="1"/>
  <c r="E78" i="2" s="1"/>
  <c r="F78" i="2" s="1"/>
  <c r="F86" i="2"/>
  <c r="F83" i="2"/>
  <c r="F81" i="2"/>
  <c r="F82" i="2"/>
  <c r="F80" i="2"/>
  <c r="F59" i="2"/>
  <c r="F58" i="2"/>
  <c r="F69" i="2"/>
  <c r="E58" i="2" s="1"/>
  <c r="F75" i="2"/>
  <c r="F73" i="2"/>
  <c r="F74" i="2"/>
  <c r="F72" i="2"/>
  <c r="F68" i="2"/>
  <c r="F65" i="2"/>
  <c r="F62" i="2"/>
  <c r="F63" i="2"/>
  <c r="F64" i="2"/>
  <c r="F61" i="2"/>
  <c r="F55" i="2"/>
  <c r="F56" i="2"/>
  <c r="F54" i="2"/>
  <c r="F50" i="2"/>
  <c r="F51" i="2" s="1"/>
  <c r="F47" i="2"/>
  <c r="F44" i="2"/>
  <c r="F45" i="2"/>
  <c r="F46" i="2"/>
  <c r="F43" i="2"/>
  <c r="F36" i="2"/>
  <c r="F37" i="2" s="1"/>
  <c r="E30" i="2" s="1"/>
  <c r="F30" i="2" s="1"/>
  <c r="F33" i="2"/>
  <c r="F32" i="2"/>
  <c r="F29" i="2"/>
  <c r="F28" i="2"/>
  <c r="F24" i="2"/>
  <c r="F25" i="2" s="1"/>
  <c r="F20" i="2"/>
  <c r="F21" i="2" s="1"/>
  <c r="F16" i="2"/>
  <c r="F17" i="2" s="1"/>
  <c r="F10" i="2"/>
  <c r="F11" i="2" s="1"/>
  <c r="E7" i="2" s="1"/>
  <c r="F7" i="2" s="1"/>
  <c r="F9" i="2"/>
  <c r="F5" i="2"/>
  <c r="F6" i="2" s="1"/>
  <c r="E3" i="2" s="1"/>
  <c r="F3" i="2" s="1"/>
  <c r="E324" i="4"/>
  <c r="F324" i="4"/>
  <c r="F325" i="4" s="1"/>
  <c r="E317" i="4" s="1"/>
  <c r="F317" i="4" s="1"/>
  <c r="E323" i="4"/>
  <c r="F323" i="4"/>
  <c r="F320" i="4"/>
  <c r="F319" i="4"/>
  <c r="E319" i="4"/>
  <c r="E308" i="4"/>
  <c r="F308" i="4"/>
  <c r="F309" i="4" s="1"/>
  <c r="E312" i="4"/>
  <c r="E313" i="4" s="1"/>
  <c r="F313" i="4" s="1"/>
  <c r="F303" i="4"/>
  <c r="E288" i="4" s="1"/>
  <c r="F288" i="4" s="1"/>
  <c r="F302" i="4"/>
  <c r="F301" i="4"/>
  <c r="F298" i="4"/>
  <c r="F291" i="4"/>
  <c r="F292" i="4"/>
  <c r="F293" i="4"/>
  <c r="F294" i="4"/>
  <c r="F295" i="4"/>
  <c r="F296" i="4"/>
  <c r="F297" i="4"/>
  <c r="F290" i="4"/>
  <c r="E291" i="4"/>
  <c r="E290" i="4"/>
  <c r="F275" i="4"/>
  <c r="E275" i="4"/>
  <c r="F285" i="4"/>
  <c r="F284" i="4"/>
  <c r="F283" i="4"/>
  <c r="F280" i="4"/>
  <c r="F278" i="4"/>
  <c r="F279" i="4"/>
  <c r="F277" i="4"/>
  <c r="F271" i="4"/>
  <c r="F270" i="4"/>
  <c r="F267" i="4"/>
  <c r="F262" i="4"/>
  <c r="F263" i="4"/>
  <c r="F264" i="4"/>
  <c r="F265" i="4"/>
  <c r="F266" i="4"/>
  <c r="F261" i="4"/>
  <c r="E262" i="4"/>
  <c r="E261" i="4"/>
  <c r="F255" i="4"/>
  <c r="F254" i="4"/>
  <c r="F251" i="4"/>
  <c r="F250" i="4"/>
  <c r="F249" i="4"/>
  <c r="F235" i="4"/>
  <c r="E235" i="4"/>
  <c r="F244" i="4"/>
  <c r="F243" i="4"/>
  <c r="F242" i="4"/>
  <c r="F239" i="4"/>
  <c r="F238" i="4"/>
  <c r="F237" i="4"/>
  <c r="F233" i="4"/>
  <c r="F232" i="4"/>
  <c r="F231" i="4"/>
  <c r="F228" i="4"/>
  <c r="F227" i="4"/>
  <c r="F226" i="4"/>
  <c r="F220" i="4"/>
  <c r="F221" i="4"/>
  <c r="F222" i="4"/>
  <c r="F219" i="4"/>
  <c r="F223" i="4" s="1"/>
  <c r="E216" i="4" s="1"/>
  <c r="F216" i="4" s="1"/>
  <c r="F196" i="4"/>
  <c r="E196" i="4"/>
  <c r="F213" i="4"/>
  <c r="F212" i="4"/>
  <c r="F211" i="4"/>
  <c r="F208" i="4"/>
  <c r="F207" i="4"/>
  <c r="F206" i="4"/>
  <c r="F203" i="4"/>
  <c r="F199" i="4"/>
  <c r="F200" i="4"/>
  <c r="F201" i="4"/>
  <c r="F202" i="4"/>
  <c r="F198" i="4"/>
  <c r="E183" i="4"/>
  <c r="F182" i="4"/>
  <c r="E182" i="4"/>
  <c r="F193" i="4"/>
  <c r="F192" i="4"/>
  <c r="F191" i="4"/>
  <c r="F188" i="4"/>
  <c r="F186" i="4"/>
  <c r="F187" i="4"/>
  <c r="F185" i="4"/>
  <c r="F171" i="4"/>
  <c r="E171" i="4"/>
  <c r="F179" i="4"/>
  <c r="F178" i="4"/>
  <c r="F177" i="4"/>
  <c r="F174" i="4"/>
  <c r="F173" i="4"/>
  <c r="F169" i="4"/>
  <c r="F168" i="4"/>
  <c r="F165" i="4"/>
  <c r="F163" i="4"/>
  <c r="F164" i="4"/>
  <c r="F162" i="4"/>
  <c r="F147" i="4"/>
  <c r="E147" i="4"/>
  <c r="F157" i="4"/>
  <c r="F156" i="4"/>
  <c r="F154" i="4"/>
  <c r="F153" i="4"/>
  <c r="F150" i="4"/>
  <c r="F149" i="4"/>
  <c r="F136" i="4"/>
  <c r="E136" i="4"/>
  <c r="F146" i="4"/>
  <c r="F145" i="4"/>
  <c r="F143" i="4"/>
  <c r="F142" i="4"/>
  <c r="F139" i="4"/>
  <c r="F138" i="4"/>
  <c r="F125" i="4"/>
  <c r="E125" i="4"/>
  <c r="F135" i="4"/>
  <c r="F134" i="4"/>
  <c r="F132" i="4"/>
  <c r="F131" i="4"/>
  <c r="F128" i="4"/>
  <c r="F127" i="4"/>
  <c r="F112" i="4"/>
  <c r="E112" i="4"/>
  <c r="F122" i="4"/>
  <c r="F121" i="4"/>
  <c r="F120" i="4"/>
  <c r="F116" i="4"/>
  <c r="F115" i="4"/>
  <c r="F114" i="4"/>
  <c r="F100" i="4"/>
  <c r="E100" i="4"/>
  <c r="F110" i="4"/>
  <c r="F109" i="4"/>
  <c r="F108" i="4"/>
  <c r="F105" i="4"/>
  <c r="F103" i="4"/>
  <c r="F104" i="4"/>
  <c r="F102" i="4"/>
  <c r="F89" i="4"/>
  <c r="E89" i="4"/>
  <c r="F99" i="4"/>
  <c r="F98" i="4"/>
  <c r="F97" i="4"/>
  <c r="F94" i="4"/>
  <c r="F92" i="4"/>
  <c r="F93" i="4"/>
  <c r="F91" i="4"/>
  <c r="F78" i="4"/>
  <c r="E78" i="4"/>
  <c r="F88" i="4"/>
  <c r="F87" i="4"/>
  <c r="F86" i="4"/>
  <c r="F83" i="4"/>
  <c r="F81" i="4"/>
  <c r="F82" i="4"/>
  <c r="F80" i="4"/>
  <c r="F73" i="4"/>
  <c r="F74" i="4"/>
  <c r="F72" i="4"/>
  <c r="F75" i="4" s="1"/>
  <c r="F68" i="4"/>
  <c r="F69" i="4" s="1"/>
  <c r="F65" i="4"/>
  <c r="F62" i="4"/>
  <c r="F63" i="4"/>
  <c r="F64" i="4"/>
  <c r="F61" i="4"/>
  <c r="F55" i="4"/>
  <c r="F56" i="4"/>
  <c r="F54" i="4"/>
  <c r="F50" i="4"/>
  <c r="F51" i="4" s="1"/>
  <c r="F47" i="4"/>
  <c r="F44" i="4"/>
  <c r="F45" i="4"/>
  <c r="F46" i="4"/>
  <c r="F43" i="4"/>
  <c r="F37" i="4"/>
  <c r="F36" i="4"/>
  <c r="F32" i="4"/>
  <c r="F33" i="4" s="1"/>
  <c r="E30" i="4" s="1"/>
  <c r="F30" i="4" s="1"/>
  <c r="F29" i="4"/>
  <c r="F28" i="4"/>
  <c r="F25" i="4"/>
  <c r="E22" i="4" s="1"/>
  <c r="F22" i="4" s="1"/>
  <c r="F24" i="4"/>
  <c r="F21" i="4"/>
  <c r="F20" i="4"/>
  <c r="F16" i="4"/>
  <c r="F17" i="4" s="1"/>
  <c r="E14" i="4" s="1"/>
  <c r="F14" i="4" s="1"/>
  <c r="F10" i="4"/>
  <c r="F11" i="4" s="1"/>
  <c r="E7" i="4" s="1"/>
  <c r="F7" i="4" s="1"/>
  <c r="F9" i="4"/>
  <c r="F3" i="4"/>
  <c r="E3" i="4"/>
  <c r="F6" i="4"/>
  <c r="F5" i="4"/>
  <c r="F317" i="6"/>
  <c r="E317" i="6"/>
  <c r="F325" i="6"/>
  <c r="F324" i="6"/>
  <c r="F323" i="6"/>
  <c r="F320" i="6"/>
  <c r="F319" i="6"/>
  <c r="E319" i="6"/>
  <c r="E323" i="6"/>
  <c r="E324" i="6" s="1"/>
  <c r="F306" i="6"/>
  <c r="E306" i="6"/>
  <c r="F314" i="6"/>
  <c r="F313" i="6"/>
  <c r="F312" i="6"/>
  <c r="F309" i="6"/>
  <c r="F308" i="6"/>
  <c r="E308" i="6"/>
  <c r="E312" i="6" s="1"/>
  <c r="E313" i="6" s="1"/>
  <c r="F288" i="6"/>
  <c r="E288" i="6"/>
  <c r="F303" i="6"/>
  <c r="F302" i="6"/>
  <c r="F301" i="6"/>
  <c r="F298" i="6"/>
  <c r="F291" i="6"/>
  <c r="F292" i="6"/>
  <c r="F293" i="6"/>
  <c r="F294" i="6"/>
  <c r="F295" i="6"/>
  <c r="F296" i="6"/>
  <c r="F297" i="6"/>
  <c r="F290" i="6"/>
  <c r="E291" i="6"/>
  <c r="E290" i="6"/>
  <c r="E216" i="6"/>
  <c r="F216" i="6" s="1"/>
  <c r="E112" i="6"/>
  <c r="E112" i="1"/>
  <c r="E235" i="1"/>
  <c r="E216" i="1"/>
  <c r="E196" i="1"/>
  <c r="E182" i="1"/>
  <c r="E160" i="1"/>
  <c r="E147" i="1"/>
  <c r="E136" i="1"/>
  <c r="E125" i="1"/>
  <c r="E262" i="1"/>
  <c r="E315" i="1"/>
  <c r="E317" i="1"/>
  <c r="F305" i="3" l="1"/>
  <c r="E290" i="3" s="1"/>
  <c r="F290" i="3" s="1"/>
  <c r="F256" i="4"/>
  <c r="E247" i="4" s="1"/>
  <c r="F247" i="4" s="1"/>
  <c r="F272" i="4"/>
  <c r="E259" i="4" s="1"/>
  <c r="F259" i="4" s="1"/>
  <c r="F78" i="7"/>
  <c r="F73" i="7"/>
  <c r="F28" i="7"/>
  <c r="F23" i="7"/>
  <c r="F269" i="3"/>
  <c r="E260" i="3" s="1"/>
  <c r="F260" i="3" s="1"/>
  <c r="F349" i="5"/>
  <c r="E314" i="5"/>
  <c r="F314" i="5" s="1"/>
  <c r="F315" i="5" s="1"/>
  <c r="F332" i="2"/>
  <c r="F334" i="2" s="1"/>
  <c r="E288" i="2"/>
  <c r="F288" i="2" s="1"/>
  <c r="E196" i="2"/>
  <c r="F196" i="2" s="1"/>
  <c r="F57" i="2"/>
  <c r="E40" i="2" s="1"/>
  <c r="F40" i="2" s="1"/>
  <c r="E22" i="2"/>
  <c r="F22" i="2" s="1"/>
  <c r="E14" i="2"/>
  <c r="F14" i="2" s="1"/>
  <c r="F312" i="4"/>
  <c r="F314" i="4" s="1"/>
  <c r="E306" i="4" s="1"/>
  <c r="F306" i="4" s="1"/>
  <c r="F170" i="4"/>
  <c r="E160" i="4" s="1"/>
  <c r="F160" i="4" s="1"/>
  <c r="E58" i="4"/>
  <c r="F58" i="4" s="1"/>
  <c r="E59" i="4" s="1"/>
  <c r="F59" i="4" s="1"/>
  <c r="F57" i="4"/>
  <c r="E40" i="4" s="1"/>
  <c r="F40" i="4" s="1"/>
  <c r="E41" i="4" s="1"/>
  <c r="E68" i="7" l="1"/>
  <c r="F68" i="7" s="1"/>
  <c r="E14" i="7"/>
  <c r="F14" i="7" s="1"/>
  <c r="E326" i="1" l="1"/>
  <c r="E328" i="1"/>
  <c r="E321" i="1"/>
  <c r="E322" i="1" s="1"/>
  <c r="E306" i="1" l="1"/>
  <c r="E308" i="1"/>
  <c r="E291" i="1"/>
  <c r="F182" i="1" l="1"/>
  <c r="F121" i="6" l="1"/>
  <c r="F112" i="6"/>
  <c r="F22" i="6"/>
  <c r="F14" i="6"/>
  <c r="F10" i="6"/>
  <c r="F9" i="6"/>
  <c r="F11" i="6" s="1"/>
  <c r="F7" i="6"/>
  <c r="F326" i="1"/>
  <c r="F328" i="1"/>
  <c r="F329" i="1" s="1"/>
  <c r="E332" i="1"/>
  <c r="E333" i="1" s="1"/>
  <c r="F333" i="1" s="1"/>
  <c r="F315" i="1"/>
  <c r="F317" i="1"/>
  <c r="F318" i="1" s="1"/>
  <c r="F322" i="1"/>
  <c r="E312" i="1"/>
  <c r="F312" i="1" s="1"/>
  <c r="F308" i="1"/>
  <c r="F309" i="1" s="1"/>
  <c r="F306" i="1"/>
  <c r="F262" i="1"/>
  <c r="F267" i="1" s="1"/>
  <c r="F291" i="1"/>
  <c r="F302" i="1"/>
  <c r="F301" i="1"/>
  <c r="F292" i="1"/>
  <c r="F293" i="1"/>
  <c r="F294" i="1"/>
  <c r="F295" i="1"/>
  <c r="F296" i="1"/>
  <c r="F297" i="1"/>
  <c r="F290" i="1"/>
  <c r="E290" i="1"/>
  <c r="F284" i="1"/>
  <c r="F283" i="1"/>
  <c r="F279" i="1"/>
  <c r="F278" i="1"/>
  <c r="F277" i="1"/>
  <c r="F271" i="1"/>
  <c r="F270" i="1"/>
  <c r="F266" i="1"/>
  <c r="F263" i="1"/>
  <c r="F264" i="1"/>
  <c r="F265" i="1"/>
  <c r="E261" i="1"/>
  <c r="F261" i="1" s="1"/>
  <c r="F255" i="1"/>
  <c r="F254" i="1"/>
  <c r="F250" i="1"/>
  <c r="F249" i="1"/>
  <c r="F235" i="1"/>
  <c r="F243" i="1"/>
  <c r="F242" i="1"/>
  <c r="F238" i="1"/>
  <c r="F237" i="1"/>
  <c r="F216" i="1"/>
  <c r="F196" i="1"/>
  <c r="F171" i="1"/>
  <c r="E171" i="1"/>
  <c r="F160" i="1"/>
  <c r="F147" i="1"/>
  <c r="F136" i="1"/>
  <c r="F125" i="1"/>
  <c r="F112" i="1"/>
  <c r="F100" i="1"/>
  <c r="E100" i="1"/>
  <c r="F89" i="1"/>
  <c r="E89" i="1"/>
  <c r="F78" i="1"/>
  <c r="E78" i="1"/>
  <c r="E30" i="1"/>
  <c r="E22" i="1"/>
  <c r="F30" i="1"/>
  <c r="E14" i="1"/>
  <c r="F14" i="1"/>
  <c r="F10" i="1"/>
  <c r="F9" i="1"/>
  <c r="F153" i="1"/>
  <c r="F154" i="1" s="1"/>
  <c r="F131" i="1"/>
  <c r="F132" i="1" s="1"/>
  <c r="F22" i="1"/>
  <c r="F20" i="1"/>
  <c r="F21" i="1" s="1"/>
  <c r="D107" i="7"/>
  <c r="D93" i="7"/>
  <c r="D102" i="7" s="1"/>
  <c r="E109" i="7"/>
  <c r="D118" i="7"/>
  <c r="E95" i="7"/>
  <c r="D100" i="7"/>
  <c r="D336" i="5"/>
  <c r="D347" i="5" s="1"/>
  <c r="D348" i="5" s="1"/>
  <c r="D83" i="7"/>
  <c r="D71" i="7"/>
  <c r="B26" i="9"/>
  <c r="B24" i="9"/>
  <c r="B23" i="9"/>
  <c r="B22" i="9"/>
  <c r="D35" i="7"/>
  <c r="D42" i="7" s="1"/>
  <c r="D43" i="7" s="1"/>
  <c r="D80" i="7"/>
  <c r="D89" i="7" s="1"/>
  <c r="D88" i="7" s="1"/>
  <c r="D68" i="7"/>
  <c r="D70" i="7" s="1"/>
  <c r="D77" i="7" s="1"/>
  <c r="D45" i="7"/>
  <c r="D47" i="7" s="1"/>
  <c r="D53" i="7" s="1"/>
  <c r="D14" i="7"/>
  <c r="D16" i="7" s="1"/>
  <c r="D22" i="7" s="1"/>
  <c r="D4" i="7"/>
  <c r="D11" i="7" s="1"/>
  <c r="D12" i="7" s="1"/>
  <c r="D235" i="2"/>
  <c r="D216" i="2"/>
  <c r="D219" i="2" s="1"/>
  <c r="D235" i="1"/>
  <c r="D216" i="1"/>
  <c r="D277" i="3"/>
  <c r="D290" i="3" s="1"/>
  <c r="D248" i="3"/>
  <c r="D183" i="3"/>
  <c r="D276" i="5"/>
  <c r="D278" i="5" s="1"/>
  <c r="D247" i="5"/>
  <c r="D249" i="5" s="1"/>
  <c r="D182" i="5"/>
  <c r="D275" i="2"/>
  <c r="D247" i="2"/>
  <c r="D182" i="2"/>
  <c r="D247" i="4"/>
  <c r="D182" i="4"/>
  <c r="D275" i="6"/>
  <c r="D247" i="6"/>
  <c r="D182" i="6"/>
  <c r="D247" i="1"/>
  <c r="D275" i="1" s="1"/>
  <c r="D283" i="1" s="1"/>
  <c r="D284" i="1" s="1"/>
  <c r="D182" i="1"/>
  <c r="D114" i="3"/>
  <c r="D114" i="5"/>
  <c r="D114" i="2"/>
  <c r="D114" i="1"/>
  <c r="F114" i="1" s="1"/>
  <c r="F117" i="1" s="1"/>
  <c r="D114" i="6"/>
  <c r="F114" i="6" s="1"/>
  <c r="D114" i="4"/>
  <c r="D325" i="3"/>
  <c r="D326" i="3" s="1"/>
  <c r="D314" i="3"/>
  <c r="B298" i="3"/>
  <c r="B297" i="3"/>
  <c r="B296" i="3"/>
  <c r="B294" i="3"/>
  <c r="B293" i="3"/>
  <c r="B292" i="3"/>
  <c r="D313" i="5"/>
  <c r="D314" i="5" s="1"/>
  <c r="D333" i="5"/>
  <c r="D334" i="5" s="1"/>
  <c r="D324" i="5"/>
  <c r="D325" i="5" s="1"/>
  <c r="B297" i="5"/>
  <c r="B296" i="5"/>
  <c r="B295" i="5"/>
  <c r="B293" i="5"/>
  <c r="B292" i="5"/>
  <c r="B291" i="5"/>
  <c r="D332" i="2"/>
  <c r="D323" i="2"/>
  <c r="D324" i="2" s="1"/>
  <c r="D312" i="2"/>
  <c r="D313" i="2" s="1"/>
  <c r="B296" i="2"/>
  <c r="B295" i="2"/>
  <c r="B294" i="2"/>
  <c r="B292" i="2"/>
  <c r="B291" i="2"/>
  <c r="B290" i="2"/>
  <c r="D308" i="1"/>
  <c r="D312" i="1" s="1"/>
  <c r="D328" i="1"/>
  <c r="D319" i="4"/>
  <c r="D323" i="4"/>
  <c r="D324" i="4" s="1"/>
  <c r="D312" i="4"/>
  <c r="B296" i="4"/>
  <c r="B295" i="4"/>
  <c r="B294" i="4"/>
  <c r="B292" i="4"/>
  <c r="B291" i="4"/>
  <c r="B290" i="4"/>
  <c r="D323" i="6"/>
  <c r="D324" i="6" s="1"/>
  <c r="D308" i="6"/>
  <c r="B296" i="6"/>
  <c r="B295" i="6"/>
  <c r="B294" i="6"/>
  <c r="B292" i="6"/>
  <c r="B291" i="6"/>
  <c r="B290" i="6"/>
  <c r="D332" i="1"/>
  <c r="D333" i="1" s="1"/>
  <c r="D321" i="1"/>
  <c r="D322" i="1" s="1"/>
  <c r="D147" i="1"/>
  <c r="D153" i="1" s="1"/>
  <c r="D136" i="1"/>
  <c r="D138" i="1" s="1"/>
  <c r="F138" i="1" s="1"/>
  <c r="F139" i="1" s="1"/>
  <c r="D125" i="1"/>
  <c r="D131" i="1" s="1"/>
  <c r="D89" i="1"/>
  <c r="D97" i="1" s="1"/>
  <c r="F97" i="1" s="1"/>
  <c r="D100" i="1"/>
  <c r="D104" i="1" s="1"/>
  <c r="F104" i="1" s="1"/>
  <c r="D58" i="1"/>
  <c r="D30" i="1"/>
  <c r="D36" i="1" s="1"/>
  <c r="F36" i="1" s="1"/>
  <c r="F37" i="1" s="1"/>
  <c r="D7" i="1"/>
  <c r="D10" i="1" s="1"/>
  <c r="D9" i="1" s="1"/>
  <c r="D78" i="1"/>
  <c r="D81" i="1" s="1"/>
  <c r="F81" i="1" s="1"/>
  <c r="D40" i="1"/>
  <c r="D41" i="1" s="1"/>
  <c r="D14" i="1"/>
  <c r="D20" i="1" s="1"/>
  <c r="D3" i="1"/>
  <c r="D120" i="1"/>
  <c r="D121" i="1" s="1"/>
  <c r="F121" i="1" s="1"/>
  <c r="D115" i="1"/>
  <c r="F115" i="1" s="1"/>
  <c r="D28" i="1"/>
  <c r="F28" i="1" s="1"/>
  <c r="F29" i="1" s="1"/>
  <c r="D24" i="1"/>
  <c r="F24" i="1" s="1"/>
  <c r="F25" i="1" s="1"/>
  <c r="D147" i="6"/>
  <c r="F147" i="6" s="1"/>
  <c r="D136" i="6"/>
  <c r="D125" i="6"/>
  <c r="F125" i="6" s="1"/>
  <c r="D100" i="6"/>
  <c r="D103" i="6" s="1"/>
  <c r="F103" i="6" s="1"/>
  <c r="D89" i="6"/>
  <c r="D97" i="6" s="1"/>
  <c r="D98" i="6" s="1"/>
  <c r="F98" i="6" s="1"/>
  <c r="D78" i="6"/>
  <c r="D81" i="6" s="1"/>
  <c r="F81" i="6" s="1"/>
  <c r="D58" i="6"/>
  <c r="D40" i="6"/>
  <c r="D30" i="6"/>
  <c r="D36" i="6" s="1"/>
  <c r="F36" i="6" s="1"/>
  <c r="F37" i="6" s="1"/>
  <c r="D14" i="6"/>
  <c r="D20" i="6" s="1"/>
  <c r="F20" i="6" s="1"/>
  <c r="F21" i="6" s="1"/>
  <c r="D7" i="6"/>
  <c r="D10" i="6" s="1"/>
  <c r="D9" i="6" s="1"/>
  <c r="D3" i="6"/>
  <c r="F3" i="6" s="1"/>
  <c r="D120" i="6"/>
  <c r="D121" i="6" s="1"/>
  <c r="D115" i="6"/>
  <c r="F115" i="6" s="1"/>
  <c r="D28" i="6"/>
  <c r="F28" i="6" s="1"/>
  <c r="F29" i="6" s="1"/>
  <c r="D24" i="6"/>
  <c r="F24" i="6" s="1"/>
  <c r="F25" i="6" s="1"/>
  <c r="D147" i="4"/>
  <c r="D136" i="4"/>
  <c r="D125" i="4"/>
  <c r="D89" i="2"/>
  <c r="D97" i="2" s="1"/>
  <c r="D98" i="2" s="1"/>
  <c r="D100" i="4"/>
  <c r="D89" i="4"/>
  <c r="D78" i="4"/>
  <c r="D58" i="4"/>
  <c r="D59" i="4" s="1"/>
  <c r="D40" i="4"/>
  <c r="D41" i="4" s="1"/>
  <c r="D30" i="4"/>
  <c r="D32" i="4" s="1"/>
  <c r="D14" i="4"/>
  <c r="D20" i="4" s="1"/>
  <c r="D7" i="4"/>
  <c r="D10" i="4" s="1"/>
  <c r="D9" i="4" s="1"/>
  <c r="D3" i="4"/>
  <c r="D153" i="4"/>
  <c r="D138" i="4"/>
  <c r="D131" i="4"/>
  <c r="D120" i="4"/>
  <c r="D121" i="4" s="1"/>
  <c r="D115" i="4"/>
  <c r="D104" i="4"/>
  <c r="D103" i="4"/>
  <c r="D97" i="4"/>
  <c r="D81" i="4"/>
  <c r="D28" i="4"/>
  <c r="D24" i="4"/>
  <c r="D5" i="4"/>
  <c r="D147" i="2"/>
  <c r="D136" i="2"/>
  <c r="D138" i="2" s="1"/>
  <c r="D125" i="2"/>
  <c r="D131" i="2" s="1"/>
  <c r="D100" i="2"/>
  <c r="D78" i="2"/>
  <c r="D58" i="2"/>
  <c r="D40" i="2"/>
  <c r="D41" i="2" s="1"/>
  <c r="D30" i="2"/>
  <c r="D36" i="2" s="1"/>
  <c r="D14" i="2"/>
  <c r="D7" i="2"/>
  <c r="D10" i="2" s="1"/>
  <c r="D9" i="2" s="1"/>
  <c r="D3" i="2"/>
  <c r="D5" i="2" s="1"/>
  <c r="D153" i="2"/>
  <c r="D120" i="2"/>
  <c r="D121" i="2" s="1"/>
  <c r="D115" i="2"/>
  <c r="D28" i="2"/>
  <c r="D24" i="2"/>
  <c r="D147" i="5"/>
  <c r="D153" i="5" s="1"/>
  <c r="D136" i="5"/>
  <c r="D138" i="5" s="1"/>
  <c r="D125" i="5"/>
  <c r="D100" i="5"/>
  <c r="D89" i="5"/>
  <c r="D92" i="5" s="1"/>
  <c r="D78" i="5"/>
  <c r="D58" i="3"/>
  <c r="D58" i="5"/>
  <c r="D59" i="5" s="1"/>
  <c r="D73" i="5" s="1"/>
  <c r="D40" i="5"/>
  <c r="D41" i="5" s="1"/>
  <c r="D55" i="5" s="1"/>
  <c r="D30" i="5"/>
  <c r="D36" i="5" s="1"/>
  <c r="D14" i="5"/>
  <c r="D3" i="5"/>
  <c r="D7" i="5"/>
  <c r="D10" i="5" s="1"/>
  <c r="D5" i="5"/>
  <c r="D131" i="5"/>
  <c r="D120" i="5"/>
  <c r="D121" i="5" s="1"/>
  <c r="D115" i="5"/>
  <c r="D28" i="5"/>
  <c r="D24" i="5"/>
  <c r="D147" i="3"/>
  <c r="D149" i="3" s="1"/>
  <c r="D136" i="3"/>
  <c r="D138" i="3" s="1"/>
  <c r="D125" i="3"/>
  <c r="D127" i="3" s="1"/>
  <c r="D100" i="3"/>
  <c r="D104" i="3" s="1"/>
  <c r="D89" i="3"/>
  <c r="D92" i="3" s="1"/>
  <c r="D78" i="3"/>
  <c r="D82" i="3" s="1"/>
  <c r="D40" i="3"/>
  <c r="D41" i="3" s="1"/>
  <c r="D43" i="3" s="1"/>
  <c r="D30" i="3"/>
  <c r="D32" i="3" s="1"/>
  <c r="D14" i="3"/>
  <c r="D16" i="3" s="1"/>
  <c r="D7" i="3"/>
  <c r="D10" i="3" s="1"/>
  <c r="D9" i="3" s="1"/>
  <c r="D3" i="3"/>
  <c r="D5" i="3" s="1"/>
  <c r="D120" i="3"/>
  <c r="D121" i="3" s="1"/>
  <c r="D115" i="3"/>
  <c r="D28" i="3"/>
  <c r="D281" i="3"/>
  <c r="D250" i="3"/>
  <c r="B266" i="3"/>
  <c r="B265" i="3"/>
  <c r="B264" i="3"/>
  <c r="D243" i="3"/>
  <c r="D244" i="3" s="1"/>
  <c r="D239" i="3"/>
  <c r="D238" i="3"/>
  <c r="D197" i="3"/>
  <c r="D208" i="3" s="1"/>
  <c r="D203" i="3" s="1"/>
  <c r="D184" i="3"/>
  <c r="D193" i="3" s="1"/>
  <c r="D172" i="3"/>
  <c r="D174" i="3" s="1"/>
  <c r="D160" i="3"/>
  <c r="D164" i="3" s="1"/>
  <c r="B265" i="5"/>
  <c r="B264" i="5"/>
  <c r="B263" i="5"/>
  <c r="D242" i="5"/>
  <c r="D238" i="5"/>
  <c r="D237" i="5"/>
  <c r="D196" i="5"/>
  <c r="D211" i="5" s="1"/>
  <c r="D212" i="5" s="1"/>
  <c r="D171" i="5"/>
  <c r="D177" i="5" s="1"/>
  <c r="D160" i="5"/>
  <c r="D168" i="5" s="1"/>
  <c r="D169" i="5" s="1"/>
  <c r="D277" i="2"/>
  <c r="D254" i="2"/>
  <c r="D255" i="2" s="1"/>
  <c r="B264" i="2"/>
  <c r="B263" i="2"/>
  <c r="B262" i="2"/>
  <c r="D242" i="2"/>
  <c r="D238" i="2"/>
  <c r="D237" i="2"/>
  <c r="D196" i="2"/>
  <c r="D207" i="2" s="1"/>
  <c r="D171" i="2"/>
  <c r="D177" i="2" s="1"/>
  <c r="D160" i="2"/>
  <c r="D168" i="2" s="1"/>
  <c r="D169" i="2" s="1"/>
  <c r="D249" i="4"/>
  <c r="D196" i="4"/>
  <c r="D211" i="4" s="1"/>
  <c r="D212" i="4" s="1"/>
  <c r="D171" i="4"/>
  <c r="D173" i="4" s="1"/>
  <c r="D160" i="4"/>
  <c r="D168" i="4" s="1"/>
  <c r="D169" i="4" s="1"/>
  <c r="D277" i="6"/>
  <c r="F277" i="6" s="1"/>
  <c r="D196" i="6"/>
  <c r="D183" i="6"/>
  <c r="D160" i="6"/>
  <c r="D196" i="1"/>
  <c r="D206" i="1" s="1"/>
  <c r="F206" i="1" s="1"/>
  <c r="D160" i="1"/>
  <c r="D168" i="1" s="1"/>
  <c r="D169" i="1" s="1"/>
  <c r="F169" i="1" s="1"/>
  <c r="D171" i="1"/>
  <c r="D177" i="1" s="1"/>
  <c r="F177" i="1" s="1"/>
  <c r="D220" i="3"/>
  <c r="D218" i="3"/>
  <c r="D232" i="3" s="1"/>
  <c r="D219" i="5"/>
  <c r="D217" i="5"/>
  <c r="D231" i="5" s="1"/>
  <c r="B264" i="4"/>
  <c r="B263" i="4"/>
  <c r="B262" i="4"/>
  <c r="D242" i="4"/>
  <c r="D243" i="4" s="1"/>
  <c r="D238" i="4"/>
  <c r="D237" i="4"/>
  <c r="D219" i="4"/>
  <c r="D217" i="4"/>
  <c r="D232" i="4" s="1"/>
  <c r="B264" i="6"/>
  <c r="B263" i="6"/>
  <c r="B262" i="6"/>
  <c r="D242" i="6"/>
  <c r="D238" i="6"/>
  <c r="F238" i="6" s="1"/>
  <c r="D237" i="6"/>
  <c r="F237" i="6" s="1"/>
  <c r="F239" i="6" s="1"/>
  <c r="D219" i="6"/>
  <c r="F219" i="6" s="1"/>
  <c r="D217" i="6"/>
  <c r="D231" i="6" s="1"/>
  <c r="F231" i="6" s="1"/>
  <c r="D171" i="6"/>
  <c r="B296" i="1"/>
  <c r="B295" i="1"/>
  <c r="B294" i="1"/>
  <c r="B292" i="1"/>
  <c r="B291" i="1"/>
  <c r="B290" i="1"/>
  <c r="B264" i="1"/>
  <c r="B263" i="1"/>
  <c r="B262" i="1"/>
  <c r="D242" i="1"/>
  <c r="D243" i="1" s="1"/>
  <c r="D238" i="1"/>
  <c r="D237" i="1"/>
  <c r="D219" i="1"/>
  <c r="F219" i="1" s="1"/>
  <c r="D217" i="1"/>
  <c r="D231" i="1" s="1"/>
  <c r="F231" i="1" s="1"/>
  <c r="F256" i="1" l="1"/>
  <c r="E247" i="1" s="1"/>
  <c r="F247" i="1" s="1"/>
  <c r="F116" i="6"/>
  <c r="F120" i="6"/>
  <c r="F122" i="6" s="1"/>
  <c r="D243" i="6"/>
  <c r="F243" i="6" s="1"/>
  <c r="F242" i="6"/>
  <c r="F244" i="6" s="1"/>
  <c r="E235" i="6" s="1"/>
  <c r="F235" i="6" s="1"/>
  <c r="D207" i="6"/>
  <c r="F207" i="6" s="1"/>
  <c r="F196" i="6"/>
  <c r="D41" i="6"/>
  <c r="D55" i="6" s="1"/>
  <c r="F55" i="6" s="1"/>
  <c r="F223" i="6"/>
  <c r="D59" i="6"/>
  <c r="E58" i="6"/>
  <c r="F58" i="6" s="1"/>
  <c r="F30" i="6"/>
  <c r="E78" i="6"/>
  <c r="F78" i="6" s="1"/>
  <c r="E89" i="6"/>
  <c r="F89" i="6" s="1"/>
  <c r="E100" i="6"/>
  <c r="F100" i="6" s="1"/>
  <c r="D138" i="6"/>
  <c r="F138" i="6" s="1"/>
  <c r="F139" i="6" s="1"/>
  <c r="F136" i="6"/>
  <c r="D259" i="6"/>
  <c r="F97" i="6"/>
  <c r="F99" i="6" s="1"/>
  <c r="D173" i="6"/>
  <c r="F173" i="6" s="1"/>
  <c r="F174" i="6" s="1"/>
  <c r="E171" i="6"/>
  <c r="F171" i="6" s="1"/>
  <c r="D168" i="6"/>
  <c r="F160" i="6"/>
  <c r="F280" i="1"/>
  <c r="F251" i="1"/>
  <c r="F272" i="1"/>
  <c r="E259" i="1" s="1"/>
  <c r="F259" i="1" s="1"/>
  <c r="F332" i="1"/>
  <c r="F334" i="1" s="1"/>
  <c r="F321" i="1"/>
  <c r="F323" i="1" s="1"/>
  <c r="E313" i="1"/>
  <c r="F303" i="1"/>
  <c r="E288" i="1" s="1"/>
  <c r="F288" i="1" s="1"/>
  <c r="F285" i="1"/>
  <c r="E275" i="1" s="1"/>
  <c r="F275" i="1" s="1"/>
  <c r="F239" i="1"/>
  <c r="F313" i="1"/>
  <c r="F314" i="1" s="1"/>
  <c r="F298" i="1"/>
  <c r="F244" i="1"/>
  <c r="D254" i="1"/>
  <c r="D255" i="1" s="1"/>
  <c r="F120" i="1"/>
  <c r="F122" i="1" s="1"/>
  <c r="F11" i="1"/>
  <c r="E7" i="1" s="1"/>
  <c r="F7" i="1" s="1"/>
  <c r="F168" i="1"/>
  <c r="F170" i="1" s="1"/>
  <c r="D313" i="1"/>
  <c r="D293" i="3"/>
  <c r="D292" i="3"/>
  <c r="D207" i="4"/>
  <c r="D202" i="4" s="1"/>
  <c r="D104" i="7"/>
  <c r="D110" i="7"/>
  <c r="D119" i="7"/>
  <c r="D18" i="9"/>
  <c r="D101" i="7"/>
  <c r="D96" i="7"/>
  <c r="D337" i="5"/>
  <c r="D339" i="5"/>
  <c r="D279" i="5"/>
  <c r="D280" i="5"/>
  <c r="D11" i="9"/>
  <c r="D12" i="9"/>
  <c r="D289" i="5"/>
  <c r="D294" i="5" s="1"/>
  <c r="D82" i="7"/>
  <c r="D84" i="7"/>
  <c r="D72" i="7"/>
  <c r="D217" i="2"/>
  <c r="D231" i="2" s="1"/>
  <c r="D296" i="3"/>
  <c r="D299" i="3"/>
  <c r="D297" i="3"/>
  <c r="D304" i="3"/>
  <c r="D303" i="3"/>
  <c r="D315" i="3"/>
  <c r="D294" i="3"/>
  <c r="D298" i="3"/>
  <c r="D295" i="3"/>
  <c r="D293" i="5"/>
  <c r="D297" i="5"/>
  <c r="D333" i="2"/>
  <c r="D288" i="2"/>
  <c r="D292" i="2" s="1"/>
  <c r="D296" i="2"/>
  <c r="D313" i="4"/>
  <c r="D288" i="6"/>
  <c r="D296" i="6" s="1"/>
  <c r="D302" i="6"/>
  <c r="D312" i="6"/>
  <c r="D313" i="6" s="1"/>
  <c r="D50" i="7"/>
  <c r="D39" i="7"/>
  <c r="D37" i="7"/>
  <c r="D51" i="7"/>
  <c r="D38" i="7"/>
  <c r="D76" i="7"/>
  <c r="D19" i="7"/>
  <c r="D6" i="7"/>
  <c r="D20" i="7"/>
  <c r="D7" i="7"/>
  <c r="D62" i="7"/>
  <c r="D8" i="7"/>
  <c r="D52" i="7"/>
  <c r="D48" i="7"/>
  <c r="D31" i="7"/>
  <c r="D21" i="7"/>
  <c r="D17" i="7"/>
  <c r="D288" i="1"/>
  <c r="D103" i="1"/>
  <c r="F103" i="1" s="1"/>
  <c r="D82" i="1"/>
  <c r="F82" i="1" s="1"/>
  <c r="D92" i="1"/>
  <c r="F92" i="1" s="1"/>
  <c r="D91" i="1"/>
  <c r="F91" i="1" s="1"/>
  <c r="F94" i="1" s="1"/>
  <c r="D93" i="1"/>
  <c r="F93" i="1" s="1"/>
  <c r="D32" i="1"/>
  <c r="F32" i="1" s="1"/>
  <c r="F33" i="1" s="1"/>
  <c r="D277" i="1"/>
  <c r="D54" i="1"/>
  <c r="F54" i="1" s="1"/>
  <c r="D43" i="1"/>
  <c r="F43" i="1" s="1"/>
  <c r="D45" i="1"/>
  <c r="F45" i="1" s="1"/>
  <c r="D55" i="1"/>
  <c r="F55" i="1" s="1"/>
  <c r="D50" i="1"/>
  <c r="F50" i="1" s="1"/>
  <c r="F51" i="1" s="1"/>
  <c r="D44" i="1"/>
  <c r="F44" i="1" s="1"/>
  <c r="D134" i="1"/>
  <c r="F134" i="1" s="1"/>
  <c r="F135" i="1" s="1"/>
  <c r="D98" i="1"/>
  <c r="F98" i="1" s="1"/>
  <c r="F99" i="1" s="1"/>
  <c r="D156" i="1"/>
  <c r="F156" i="1" s="1"/>
  <c r="F157" i="1" s="1"/>
  <c r="D127" i="1"/>
  <c r="F127" i="1" s="1"/>
  <c r="F128" i="1" s="1"/>
  <c r="D149" i="1"/>
  <c r="F149" i="1" s="1"/>
  <c r="F150" i="1" s="1"/>
  <c r="D5" i="1"/>
  <c r="D86" i="1"/>
  <c r="F86" i="1" s="1"/>
  <c r="D108" i="1"/>
  <c r="F108" i="1" s="1"/>
  <c r="D259" i="1"/>
  <c r="D264" i="1" s="1"/>
  <c r="D16" i="1"/>
  <c r="F16" i="1" s="1"/>
  <c r="F17" i="1" s="1"/>
  <c r="D80" i="1"/>
  <c r="F80" i="1" s="1"/>
  <c r="D102" i="1"/>
  <c r="F102" i="1" s="1"/>
  <c r="F105" i="1" s="1"/>
  <c r="D59" i="1"/>
  <c r="D104" i="6"/>
  <c r="F104" i="6" s="1"/>
  <c r="D82" i="6"/>
  <c r="F82" i="6" s="1"/>
  <c r="D32" i="6"/>
  <c r="F32" i="6" s="1"/>
  <c r="F33" i="6" s="1"/>
  <c r="D91" i="6"/>
  <c r="F91" i="6" s="1"/>
  <c r="F94" i="6" s="1"/>
  <c r="D44" i="6"/>
  <c r="F44" i="6" s="1"/>
  <c r="D45" i="6"/>
  <c r="F45" i="6" s="1"/>
  <c r="D279" i="6"/>
  <c r="F279" i="6" s="1"/>
  <c r="D93" i="6"/>
  <c r="F93" i="6" s="1"/>
  <c r="D283" i="6"/>
  <c r="D92" i="6"/>
  <c r="F92" i="6" s="1"/>
  <c r="D153" i="6"/>
  <c r="F153" i="6" s="1"/>
  <c r="F154" i="6" s="1"/>
  <c r="D149" i="6"/>
  <c r="F149" i="6" s="1"/>
  <c r="F150" i="6" s="1"/>
  <c r="D73" i="6"/>
  <c r="F73" i="6" s="1"/>
  <c r="D62" i="6"/>
  <c r="F62" i="6" s="1"/>
  <c r="D72" i="6"/>
  <c r="F72" i="6" s="1"/>
  <c r="D61" i="6"/>
  <c r="F61" i="6" s="1"/>
  <c r="D68" i="6"/>
  <c r="F68" i="6" s="1"/>
  <c r="F69" i="6" s="1"/>
  <c r="D131" i="6"/>
  <c r="F131" i="6" s="1"/>
  <c r="F132" i="6" s="1"/>
  <c r="D127" i="6"/>
  <c r="F127" i="6" s="1"/>
  <c r="F128" i="6" s="1"/>
  <c r="D5" i="6"/>
  <c r="E5" i="6" s="1"/>
  <c r="F5" i="6" s="1"/>
  <c r="F6" i="6" s="1"/>
  <c r="D63" i="6"/>
  <c r="F63" i="6" s="1"/>
  <c r="D86" i="6"/>
  <c r="F86" i="6" s="1"/>
  <c r="D108" i="6"/>
  <c r="F108" i="6" s="1"/>
  <c r="D16" i="6"/>
  <c r="F16" i="6" s="1"/>
  <c r="F17" i="6" s="1"/>
  <c r="D80" i="6"/>
  <c r="F80" i="6" s="1"/>
  <c r="F83" i="6" s="1"/>
  <c r="D102" i="6"/>
  <c r="F102" i="6" s="1"/>
  <c r="F105" i="6" s="1"/>
  <c r="D82" i="4"/>
  <c r="D91" i="4"/>
  <c r="D92" i="4"/>
  <c r="D36" i="4"/>
  <c r="D93" i="4"/>
  <c r="D98" i="4"/>
  <c r="D54" i="4"/>
  <c r="D43" i="4"/>
  <c r="D50" i="4"/>
  <c r="D55" i="4"/>
  <c r="D45" i="4"/>
  <c r="D44" i="4"/>
  <c r="D134" i="4"/>
  <c r="D73" i="4"/>
  <c r="D62" i="4"/>
  <c r="D68" i="4"/>
  <c r="D72" i="4"/>
  <c r="D61" i="4"/>
  <c r="D63" i="4"/>
  <c r="D156" i="4"/>
  <c r="D127" i="4"/>
  <c r="D149" i="4"/>
  <c r="D86" i="4"/>
  <c r="D16" i="4"/>
  <c r="D80" i="4"/>
  <c r="D102" i="4"/>
  <c r="D108" i="4"/>
  <c r="D250" i="2"/>
  <c r="D91" i="2"/>
  <c r="D92" i="2"/>
  <c r="D32" i="2"/>
  <c r="D93" i="2"/>
  <c r="D103" i="2"/>
  <c r="D102" i="2"/>
  <c r="D81" i="2"/>
  <c r="D80" i="2"/>
  <c r="D54" i="2"/>
  <c r="D43" i="2"/>
  <c r="D50" i="2"/>
  <c r="D59" i="2"/>
  <c r="D44" i="2"/>
  <c r="D45" i="2"/>
  <c r="D104" i="2"/>
  <c r="D134" i="2"/>
  <c r="D156" i="2"/>
  <c r="D82" i="2"/>
  <c r="D127" i="2"/>
  <c r="D149" i="2"/>
  <c r="D55" i="2"/>
  <c r="D108" i="2"/>
  <c r="D20" i="2"/>
  <c r="D16" i="2"/>
  <c r="D86" i="2"/>
  <c r="D9" i="5"/>
  <c r="D91" i="5"/>
  <c r="D32" i="5"/>
  <c r="D93" i="5"/>
  <c r="D127" i="5"/>
  <c r="D97" i="5"/>
  <c r="D98" i="5" s="1"/>
  <c r="D20" i="5"/>
  <c r="D16" i="5"/>
  <c r="D54" i="5"/>
  <c r="D43" i="5"/>
  <c r="D50" i="5"/>
  <c r="D103" i="5"/>
  <c r="D102" i="5"/>
  <c r="D108" i="5"/>
  <c r="D61" i="5"/>
  <c r="D72" i="5"/>
  <c r="D68" i="5"/>
  <c r="D81" i="5"/>
  <c r="D80" i="5"/>
  <c r="D86" i="5"/>
  <c r="D44" i="5"/>
  <c r="D62" i="5"/>
  <c r="D156" i="5"/>
  <c r="D45" i="5"/>
  <c r="D63" i="5"/>
  <c r="D104" i="5"/>
  <c r="D134" i="5"/>
  <c r="D82" i="5"/>
  <c r="D149" i="5"/>
  <c r="D153" i="3"/>
  <c r="D156" i="3" s="1"/>
  <c r="D93" i="3"/>
  <c r="D97" i="3"/>
  <c r="D98" i="3" s="1"/>
  <c r="D108" i="3"/>
  <c r="D109" i="3" s="1"/>
  <c r="D131" i="3"/>
  <c r="D59" i="3"/>
  <c r="D72" i="3" s="1"/>
  <c r="D86" i="3"/>
  <c r="D87" i="3" s="1"/>
  <c r="D91" i="3"/>
  <c r="D102" i="3"/>
  <c r="D103" i="3"/>
  <c r="D80" i="3"/>
  <c r="D81" i="3"/>
  <c r="D50" i="3"/>
  <c r="D46" i="3" s="1"/>
  <c r="D36" i="3"/>
  <c r="D61" i="3"/>
  <c r="D24" i="3"/>
  <c r="D251" i="3"/>
  <c r="D255" i="3"/>
  <c r="D256" i="3" s="1"/>
  <c r="D260" i="3"/>
  <c r="D273" i="3" s="1"/>
  <c r="D272" i="3" s="1"/>
  <c r="D285" i="3"/>
  <c r="D279" i="3"/>
  <c r="D280" i="3"/>
  <c r="D243" i="5"/>
  <c r="D254" i="5"/>
  <c r="D162" i="3"/>
  <c r="D163" i="3"/>
  <c r="D168" i="3"/>
  <c r="D169" i="3" s="1"/>
  <c r="D178" i="3"/>
  <c r="D188" i="3"/>
  <c r="D20" i="3"/>
  <c r="D192" i="3"/>
  <c r="D233" i="3"/>
  <c r="D200" i="3"/>
  <c r="D201" i="3"/>
  <c r="D212" i="3"/>
  <c r="D213" i="3" s="1"/>
  <c r="D222" i="3"/>
  <c r="D223" i="3"/>
  <c r="D284" i="5"/>
  <c r="D250" i="5"/>
  <c r="D259" i="5"/>
  <c r="D200" i="5"/>
  <c r="D207" i="5"/>
  <c r="D202" i="5" s="1"/>
  <c r="D162" i="5"/>
  <c r="D163" i="5"/>
  <c r="D164" i="5"/>
  <c r="D221" i="5"/>
  <c r="D173" i="5"/>
  <c r="D222" i="5"/>
  <c r="D232" i="5"/>
  <c r="D199" i="5"/>
  <c r="D243" i="2"/>
  <c r="D279" i="2"/>
  <c r="D278" i="2"/>
  <c r="D259" i="2"/>
  <c r="D249" i="2"/>
  <c r="D283" i="2"/>
  <c r="D183" i="2"/>
  <c r="D186" i="2" s="1"/>
  <c r="D206" i="4"/>
  <c r="D177" i="4"/>
  <c r="D178" i="4" s="1"/>
  <c r="D259" i="4"/>
  <c r="D162" i="6"/>
  <c r="F162" i="6" s="1"/>
  <c r="D164" i="6"/>
  <c r="F164" i="6" s="1"/>
  <c r="D278" i="6"/>
  <c r="F278" i="6" s="1"/>
  <c r="F280" i="6" s="1"/>
  <c r="D198" i="2"/>
  <c r="D162" i="2"/>
  <c r="D199" i="2"/>
  <c r="D163" i="2"/>
  <c r="D200" i="2"/>
  <c r="D164" i="2"/>
  <c r="D211" i="2"/>
  <c r="D212" i="2" s="1"/>
  <c r="D226" i="2" s="1"/>
  <c r="D221" i="2"/>
  <c r="D222" i="2"/>
  <c r="D232" i="2"/>
  <c r="D265" i="4"/>
  <c r="D261" i="4"/>
  <c r="D250" i="4"/>
  <c r="D220" i="4"/>
  <c r="D254" i="4"/>
  <c r="D255" i="4" s="1"/>
  <c r="D198" i="4"/>
  <c r="D221" i="4"/>
  <c r="D199" i="4"/>
  <c r="D222" i="4"/>
  <c r="D231" i="4"/>
  <c r="D200" i="4"/>
  <c r="D262" i="4"/>
  <c r="D162" i="4"/>
  <c r="D163" i="4"/>
  <c r="D164" i="4"/>
  <c r="D177" i="6"/>
  <c r="D278" i="1"/>
  <c r="D279" i="1"/>
  <c r="D226" i="1"/>
  <c r="F226" i="1" s="1"/>
  <c r="F228" i="1" s="1"/>
  <c r="D227" i="1"/>
  <c r="F227" i="1" s="1"/>
  <c r="D232" i="1"/>
  <c r="F232" i="1" s="1"/>
  <c r="F233" i="1" s="1"/>
  <c r="D173" i="1"/>
  <c r="F173" i="1" s="1"/>
  <c r="F174" i="1" s="1"/>
  <c r="D211" i="1"/>
  <c r="F211" i="1" s="1"/>
  <c r="D198" i="1"/>
  <c r="F198" i="1" s="1"/>
  <c r="D220" i="1"/>
  <c r="F220" i="1" s="1"/>
  <c r="F223" i="1" s="1"/>
  <c r="D162" i="1"/>
  <c r="F162" i="1" s="1"/>
  <c r="D199" i="1"/>
  <c r="F199" i="1" s="1"/>
  <c r="D163" i="1"/>
  <c r="F163" i="1" s="1"/>
  <c r="D200" i="1"/>
  <c r="F200" i="1" s="1"/>
  <c r="D221" i="1"/>
  <c r="F221" i="1" s="1"/>
  <c r="D164" i="1"/>
  <c r="F164" i="1" s="1"/>
  <c r="D201" i="1"/>
  <c r="F201" i="1" s="1"/>
  <c r="D222" i="1"/>
  <c r="F222" i="1" s="1"/>
  <c r="D207" i="1"/>
  <c r="F207" i="1" s="1"/>
  <c r="F208" i="1" s="1"/>
  <c r="D179" i="3"/>
  <c r="D54" i="3"/>
  <c r="D44" i="3"/>
  <c r="D55" i="3"/>
  <c r="D45" i="3"/>
  <c r="D187" i="3"/>
  <c r="D186" i="3"/>
  <c r="D207" i="3"/>
  <c r="D199" i="3"/>
  <c r="D221" i="3"/>
  <c r="D227" i="5"/>
  <c r="D226" i="5"/>
  <c r="D178" i="5"/>
  <c r="D183" i="5"/>
  <c r="D206" i="5"/>
  <c r="D198" i="5"/>
  <c r="D220" i="5"/>
  <c r="D227" i="4"/>
  <c r="D226" i="4"/>
  <c r="D183" i="4"/>
  <c r="D186" i="6"/>
  <c r="F186" i="6" s="1"/>
  <c r="D191" i="6"/>
  <c r="F191" i="6" s="1"/>
  <c r="D187" i="6"/>
  <c r="F187" i="6" s="1"/>
  <c r="D185" i="6"/>
  <c r="F185" i="6" s="1"/>
  <c r="D192" i="6"/>
  <c r="F192" i="6" s="1"/>
  <c r="D250" i="6"/>
  <c r="F250" i="6" s="1"/>
  <c r="D254" i="6"/>
  <c r="F254" i="6" s="1"/>
  <c r="D249" i="6"/>
  <c r="F249" i="6" s="1"/>
  <c r="F251" i="6" s="1"/>
  <c r="D199" i="6"/>
  <c r="F199" i="6" s="1"/>
  <c r="D221" i="6"/>
  <c r="F221" i="6" s="1"/>
  <c r="D232" i="6"/>
  <c r="F232" i="6" s="1"/>
  <c r="F233" i="6" s="1"/>
  <c r="D262" i="6"/>
  <c r="E262" i="6" s="1"/>
  <c r="F262" i="6" s="1"/>
  <c r="D163" i="6"/>
  <c r="F163" i="6" s="1"/>
  <c r="D200" i="6"/>
  <c r="F200" i="6" s="1"/>
  <c r="D211" i="6"/>
  <c r="F211" i="6" s="1"/>
  <c r="D222" i="6"/>
  <c r="F222" i="6" s="1"/>
  <c r="D206" i="6"/>
  <c r="F206" i="6" s="1"/>
  <c r="D198" i="6"/>
  <c r="F198" i="6" s="1"/>
  <c r="D220" i="6"/>
  <c r="F220" i="6" s="1"/>
  <c r="D183" i="1"/>
  <c r="D178" i="1"/>
  <c r="F178" i="1" s="1"/>
  <c r="F179" i="1" s="1"/>
  <c r="D250" i="1"/>
  <c r="D249" i="1"/>
  <c r="D178" i="2"/>
  <c r="D202" i="2"/>
  <c r="D173" i="2"/>
  <c r="D206" i="2"/>
  <c r="D43" i="6" l="1"/>
  <c r="F43" i="6" s="1"/>
  <c r="D263" i="6"/>
  <c r="F263" i="6" s="1"/>
  <c r="D178" i="6"/>
  <c r="F178" i="6" s="1"/>
  <c r="F177" i="6"/>
  <c r="F179" i="6" s="1"/>
  <c r="D54" i="6"/>
  <c r="F54" i="6" s="1"/>
  <c r="F193" i="6"/>
  <c r="E182" i="6" s="1"/>
  <c r="F182" i="6" s="1"/>
  <c r="E183" i="6" s="1"/>
  <c r="D266" i="6"/>
  <c r="F266" i="6" s="1"/>
  <c r="F208" i="6"/>
  <c r="D284" i="6"/>
  <c r="F284" i="6" s="1"/>
  <c r="F283" i="6"/>
  <c r="F188" i="6"/>
  <c r="D261" i="6"/>
  <c r="E261" i="6" s="1"/>
  <c r="F261" i="6" s="1"/>
  <c r="D264" i="6"/>
  <c r="F264" i="6" s="1"/>
  <c r="D265" i="6"/>
  <c r="F265" i="6" s="1"/>
  <c r="D169" i="6"/>
  <c r="F169" i="6" s="1"/>
  <c r="F168" i="6"/>
  <c r="F165" i="6"/>
  <c r="D50" i="6"/>
  <c r="F50" i="6" s="1"/>
  <c r="F51" i="6" s="1"/>
  <c r="D202" i="6"/>
  <c r="F202" i="6" s="1"/>
  <c r="D271" i="6"/>
  <c r="F271" i="6" s="1"/>
  <c r="F165" i="1"/>
  <c r="F110" i="1"/>
  <c r="F83" i="1"/>
  <c r="D63" i="3"/>
  <c r="D266" i="4"/>
  <c r="D275" i="4"/>
  <c r="D62" i="3"/>
  <c r="D37" i="9"/>
  <c r="D114" i="7"/>
  <c r="D109" i="7" s="1"/>
  <c r="F120" i="7"/>
  <c r="D13" i="9"/>
  <c r="D17" i="9"/>
  <c r="D5" i="9"/>
  <c r="D28" i="9"/>
  <c r="D15" i="9"/>
  <c r="D32" i="9"/>
  <c r="D16" i="9"/>
  <c r="D103" i="7"/>
  <c r="D105" i="7"/>
  <c r="D343" i="5"/>
  <c r="D341" i="5"/>
  <c r="D342" i="5"/>
  <c r="D340" i="5"/>
  <c r="D303" i="5"/>
  <c r="D298" i="5"/>
  <c r="D295" i="5"/>
  <c r="D33" i="9"/>
  <c r="D36" i="9"/>
  <c r="D10" i="9"/>
  <c r="D35" i="9"/>
  <c r="D34" i="9"/>
  <c r="D8" i="9"/>
  <c r="D9" i="9"/>
  <c r="D291" i="5"/>
  <c r="D292" i="5"/>
  <c r="D296" i="5"/>
  <c r="D220" i="2"/>
  <c r="D263" i="4"/>
  <c r="D292" i="6"/>
  <c r="D291" i="6"/>
  <c r="D297" i="6"/>
  <c r="D302" i="5"/>
  <c r="D293" i="2"/>
  <c r="D294" i="2"/>
  <c r="D302" i="2"/>
  <c r="D291" i="2"/>
  <c r="D297" i="2"/>
  <c r="D295" i="2"/>
  <c r="D290" i="2"/>
  <c r="D295" i="6"/>
  <c r="D290" i="6"/>
  <c r="D293" i="6"/>
  <c r="D294" i="6"/>
  <c r="D301" i="6"/>
  <c r="D63" i="7"/>
  <c r="D57" i="7"/>
  <c r="D49" i="7"/>
  <c r="D18" i="7"/>
  <c r="D32" i="7"/>
  <c r="D26" i="7"/>
  <c r="D295" i="1"/>
  <c r="D297" i="1"/>
  <c r="D296" i="1"/>
  <c r="D291" i="1"/>
  <c r="D290" i="1"/>
  <c r="D294" i="1"/>
  <c r="D293" i="1"/>
  <c r="D292" i="1"/>
  <c r="D302" i="1"/>
  <c r="D262" i="1"/>
  <c r="D142" i="1"/>
  <c r="F142" i="1" s="1"/>
  <c r="F143" i="1" s="1"/>
  <c r="D56" i="1"/>
  <c r="F56" i="1" s="1"/>
  <c r="F57" i="1" s="1"/>
  <c r="D46" i="1"/>
  <c r="F46" i="1" s="1"/>
  <c r="F47" i="1" s="1"/>
  <c r="D266" i="1"/>
  <c r="D263" i="1"/>
  <c r="D261" i="1"/>
  <c r="D271" i="1"/>
  <c r="D265" i="1"/>
  <c r="D109" i="1"/>
  <c r="F109" i="1" s="1"/>
  <c r="D73" i="1"/>
  <c r="F73" i="1" s="1"/>
  <c r="D62" i="1"/>
  <c r="F62" i="1" s="1"/>
  <c r="D72" i="1"/>
  <c r="F72" i="1" s="1"/>
  <c r="D61" i="1"/>
  <c r="F61" i="1" s="1"/>
  <c r="D68" i="1"/>
  <c r="F68" i="1" s="1"/>
  <c r="F69" i="1" s="1"/>
  <c r="D63" i="1"/>
  <c r="F63" i="1" s="1"/>
  <c r="D87" i="1"/>
  <c r="F87" i="1" s="1"/>
  <c r="F88" i="1" s="1"/>
  <c r="D109" i="6"/>
  <c r="F109" i="6" s="1"/>
  <c r="F110" i="6" s="1"/>
  <c r="D134" i="6"/>
  <c r="F134" i="6" s="1"/>
  <c r="F135" i="6" s="1"/>
  <c r="D64" i="6"/>
  <c r="F64" i="6" s="1"/>
  <c r="F65" i="6" s="1"/>
  <c r="D74" i="6"/>
  <c r="F74" i="6" s="1"/>
  <c r="F75" i="6" s="1"/>
  <c r="D156" i="6"/>
  <c r="F156" i="6" s="1"/>
  <c r="F157" i="6" s="1"/>
  <c r="D87" i="6"/>
  <c r="F87" i="6" s="1"/>
  <c r="F88" i="6" s="1"/>
  <c r="D46" i="6"/>
  <c r="F46" i="6" s="1"/>
  <c r="D56" i="6"/>
  <c r="F56" i="6" s="1"/>
  <c r="D201" i="4"/>
  <c r="D74" i="4"/>
  <c r="D64" i="4"/>
  <c r="D46" i="4"/>
  <c r="D56" i="4"/>
  <c r="D87" i="4"/>
  <c r="D142" i="4"/>
  <c r="D264" i="4"/>
  <c r="D109" i="4"/>
  <c r="D191" i="2"/>
  <c r="D187" i="2"/>
  <c r="D87" i="2"/>
  <c r="D142" i="2"/>
  <c r="D109" i="2"/>
  <c r="D185" i="2"/>
  <c r="D192" i="2"/>
  <c r="D73" i="2"/>
  <c r="D62" i="2"/>
  <c r="D72" i="2"/>
  <c r="D61" i="2"/>
  <c r="D68" i="2"/>
  <c r="D63" i="2"/>
  <c r="D46" i="2"/>
  <c r="D56" i="2"/>
  <c r="D227" i="3"/>
  <c r="D228" i="3"/>
  <c r="D142" i="5"/>
  <c r="D87" i="5"/>
  <c r="D64" i="5"/>
  <c r="D74" i="5"/>
  <c r="D109" i="5"/>
  <c r="D46" i="5"/>
  <c r="D56" i="5"/>
  <c r="D68" i="3"/>
  <c r="D64" i="3" s="1"/>
  <c r="D134" i="3"/>
  <c r="D73" i="3"/>
  <c r="D56" i="3"/>
  <c r="D264" i="3"/>
  <c r="D268" i="3"/>
  <c r="D266" i="3"/>
  <c r="D267" i="3"/>
  <c r="D263" i="3"/>
  <c r="D265" i="3"/>
  <c r="D286" i="3"/>
  <c r="D255" i="5"/>
  <c r="D267" i="5"/>
  <c r="D272" i="5"/>
  <c r="D266" i="5"/>
  <c r="D262" i="5"/>
  <c r="D265" i="5"/>
  <c r="D264" i="5"/>
  <c r="D263" i="5"/>
  <c r="D285" i="5"/>
  <c r="D284" i="2"/>
  <c r="D265" i="2"/>
  <c r="D261" i="2"/>
  <c r="D264" i="2"/>
  <c r="D271" i="2"/>
  <c r="D263" i="2"/>
  <c r="D262" i="2"/>
  <c r="D266" i="2"/>
  <c r="D227" i="2"/>
  <c r="D271" i="4"/>
  <c r="D270" i="6"/>
  <c r="F270" i="6" s="1"/>
  <c r="F272" i="6" s="1"/>
  <c r="E259" i="6" s="1"/>
  <c r="F259" i="6" s="1"/>
  <c r="D212" i="1"/>
  <c r="F212" i="1" s="1"/>
  <c r="F213" i="1" s="1"/>
  <c r="D202" i="1"/>
  <c r="F202" i="1" s="1"/>
  <c r="F203" i="1" s="1"/>
  <c r="D202" i="3"/>
  <c r="D192" i="5"/>
  <c r="D186" i="5"/>
  <c r="D185" i="5"/>
  <c r="D187" i="5"/>
  <c r="D191" i="5"/>
  <c r="D201" i="5"/>
  <c r="D185" i="4"/>
  <c r="D192" i="4"/>
  <c r="D191" i="4"/>
  <c r="D187" i="4"/>
  <c r="D186" i="4"/>
  <c r="D201" i="6"/>
  <c r="F201" i="6" s="1"/>
  <c r="F203" i="6" s="1"/>
  <c r="D255" i="6"/>
  <c r="F255" i="6" s="1"/>
  <c r="F256" i="6" s="1"/>
  <c r="E247" i="6" s="1"/>
  <c r="F247" i="6" s="1"/>
  <c r="D212" i="6"/>
  <c r="F212" i="6" s="1"/>
  <c r="F213" i="6" s="1"/>
  <c r="D186" i="1"/>
  <c r="F186" i="1" s="1"/>
  <c r="D185" i="1"/>
  <c r="F185" i="1" s="1"/>
  <c r="D192" i="1"/>
  <c r="F192" i="1" s="1"/>
  <c r="D191" i="1"/>
  <c r="F191" i="1" s="1"/>
  <c r="D187" i="1"/>
  <c r="F187" i="1" s="1"/>
  <c r="D201" i="2"/>
  <c r="F170" i="6" l="1"/>
  <c r="F57" i="6"/>
  <c r="E40" i="6" s="1"/>
  <c r="F40" i="6" s="1"/>
  <c r="E40" i="1"/>
  <c r="F40" i="1" s="1"/>
  <c r="F285" i="6"/>
  <c r="E275" i="6" s="1"/>
  <c r="F275" i="6" s="1"/>
  <c r="F47" i="6"/>
  <c r="F267" i="6"/>
  <c r="F193" i="1"/>
  <c r="F188" i="1"/>
  <c r="D95" i="7"/>
  <c r="D279" i="4"/>
  <c r="D288" i="4"/>
  <c r="D278" i="4"/>
  <c r="D283" i="4"/>
  <c r="D277" i="4"/>
  <c r="D3" i="9"/>
  <c r="D14" i="9"/>
  <c r="D30" i="9"/>
  <c r="D19" i="9"/>
  <c r="D4" i="9"/>
  <c r="D31" i="9"/>
  <c r="D301" i="2"/>
  <c r="D58" i="7"/>
  <c r="D27" i="7"/>
  <c r="D301" i="1"/>
  <c r="D145" i="1"/>
  <c r="F145" i="1" s="1"/>
  <c r="F146" i="1" s="1"/>
  <c r="D64" i="1"/>
  <c r="F64" i="1" s="1"/>
  <c r="F65" i="1" s="1"/>
  <c r="D74" i="1"/>
  <c r="F74" i="1" s="1"/>
  <c r="F75" i="1" s="1"/>
  <c r="D270" i="1"/>
  <c r="D142" i="6"/>
  <c r="F142" i="6" s="1"/>
  <c r="F143" i="6" s="1"/>
  <c r="D270" i="4"/>
  <c r="D145" i="4"/>
  <c r="D145" i="2"/>
  <c r="D74" i="2"/>
  <c r="D64" i="2"/>
  <c r="D74" i="3"/>
  <c r="D145" i="5"/>
  <c r="D142" i="3"/>
  <c r="D145" i="3" s="1"/>
  <c r="D271" i="5"/>
  <c r="D270" i="2"/>
  <c r="D226" i="6"/>
  <c r="F226" i="6" s="1"/>
  <c r="D227" i="6"/>
  <c r="F227" i="6" s="1"/>
  <c r="F326" i="6" l="1"/>
  <c r="C3" i="10" s="1"/>
  <c r="E58" i="1"/>
  <c r="F58" i="1" s="1"/>
  <c r="E59" i="1" s="1"/>
  <c r="F59" i="1" s="1"/>
  <c r="F228" i="6"/>
  <c r="D6" i="9"/>
  <c r="D297" i="4"/>
  <c r="D294" i="4"/>
  <c r="D296" i="4"/>
  <c r="D290" i="4"/>
  <c r="D291" i="4"/>
  <c r="D295" i="4"/>
  <c r="D293" i="4"/>
  <c r="D302" i="4"/>
  <c r="D292" i="4"/>
  <c r="D29" i="9"/>
  <c r="D284" i="4"/>
  <c r="D145" i="6"/>
  <c r="F145" i="6" s="1"/>
  <c r="F146" i="6" s="1"/>
  <c r="D20" i="9" l="1"/>
  <c r="D26" i="9"/>
  <c r="D24" i="9"/>
  <c r="D23" i="9"/>
  <c r="D301" i="4"/>
  <c r="D22" i="9"/>
  <c r="F335" i="2"/>
  <c r="D25" i="9"/>
  <c r="C6" i="10"/>
  <c r="D21" i="9" l="1"/>
  <c r="F328" i="3"/>
  <c r="C7" i="10" s="1"/>
  <c r="D27" i="9" l="1"/>
  <c r="F326" i="4"/>
  <c r="C4" i="10" s="1"/>
  <c r="F335" i="1"/>
  <c r="C2" i="10" s="1"/>
  <c r="F3" i="1"/>
  <c r="E5" i="1"/>
  <c r="F5" i="1" s="1"/>
  <c r="C11" i="10" l="1"/>
  <c r="C1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Jeome Sande</author>
  </authors>
  <commentList>
    <comment ref="F216" authorId="0" shapeId="0" xr:uid="{3FD7E76F-702E-4861-9B48-835055F7033C}">
      <text>
        <r>
          <rPr>
            <b/>
            <sz val="9"/>
            <color indexed="81"/>
            <rFont val="Tahoma"/>
            <family val="2"/>
          </rPr>
          <t>Jeome Sande:</t>
        </r>
        <r>
          <rPr>
            <sz val="9"/>
            <color indexed="81"/>
            <rFont val="Tahoma"/>
            <family val="2"/>
          </rPr>
          <t xml:space="preserve">
No subtotal</t>
        </r>
      </text>
    </comment>
  </commentList>
</comments>
</file>

<file path=xl/sharedStrings.xml><?xml version="1.0" encoding="utf-8"?>
<sst xmlns="http://schemas.openxmlformats.org/spreadsheetml/2006/main" count="2826" uniqueCount="232">
  <si>
    <t>Supply and apply Chemical anti-termite treatment as "Gladiator" or other approved insecticide to sides surfaces and bottom of trenches and bases, floor slab.</t>
  </si>
  <si>
    <t>m2</t>
  </si>
  <si>
    <t>Materials</t>
  </si>
  <si>
    <t>Termidor Aintitermite chemical</t>
  </si>
  <si>
    <t>lts</t>
  </si>
  <si>
    <t>Total materials</t>
  </si>
  <si>
    <t>Labour</t>
  </si>
  <si>
    <t>Porter</t>
  </si>
  <si>
    <t>days</t>
  </si>
  <si>
    <t>Total labour</t>
  </si>
  <si>
    <t>CM</t>
  </si>
  <si>
    <t>Cement</t>
  </si>
  <si>
    <t>Bags</t>
  </si>
  <si>
    <t>Sand</t>
  </si>
  <si>
    <t>Aggregates</t>
  </si>
  <si>
    <t>Fuel (Diesel)</t>
  </si>
  <si>
    <t>Ltrs</t>
  </si>
  <si>
    <t>Fuel (Petrol)</t>
  </si>
  <si>
    <t>Total Materials (Concrete Works)</t>
  </si>
  <si>
    <t>Equipments</t>
  </si>
  <si>
    <t>Concrete Mixer</t>
  </si>
  <si>
    <t>Days</t>
  </si>
  <si>
    <t>Concrete Vibrator</t>
  </si>
  <si>
    <t>Total Equipment (Concrete Works)</t>
  </si>
  <si>
    <t>Masons</t>
  </si>
  <si>
    <t>Porters</t>
  </si>
  <si>
    <t>Mixer Operator</t>
  </si>
  <si>
    <t>Total Labour (Concrete Works)</t>
  </si>
  <si>
    <t>m3</t>
  </si>
  <si>
    <t>Material</t>
  </si>
  <si>
    <t>Hardcore(IBIPARARA)</t>
  </si>
  <si>
    <t>bags</t>
  </si>
  <si>
    <t>sand</t>
  </si>
  <si>
    <t>labour</t>
  </si>
  <si>
    <t>Mason</t>
  </si>
  <si>
    <t>1000 gauge woven Geotextile membrane</t>
  </si>
  <si>
    <t>S.M.</t>
  </si>
  <si>
    <t>DPM</t>
  </si>
  <si>
    <t>M2</t>
  </si>
  <si>
    <t>Total for labour</t>
  </si>
  <si>
    <t>200mm Brick wall</t>
  </si>
  <si>
    <t>Ciment 32.5</t>
  </si>
  <si>
    <t>Kayumbu sand</t>
  </si>
  <si>
    <t>Burnt bricks</t>
  </si>
  <si>
    <t>pcs</t>
  </si>
  <si>
    <t>m³</t>
  </si>
  <si>
    <t>32mm Screed finishing before coating epoxy flooring</t>
  </si>
  <si>
    <t>m²</t>
  </si>
  <si>
    <t xml:space="preserve">15 mm thick cement and sand (1:4) render to masonry and concrete to receive specialist finish (ms) </t>
  </si>
  <si>
    <t>Walls and concrete surfaces externally</t>
  </si>
  <si>
    <t>SM</t>
  </si>
  <si>
    <t>Materials:</t>
  </si>
  <si>
    <t>Cement 32.5</t>
  </si>
  <si>
    <t>Labour:</t>
  </si>
  <si>
    <t>TOTAL Labour</t>
  </si>
  <si>
    <t>Prepare, prime and apply three coats 'weather guard' emulsion paint to external wall</t>
  </si>
  <si>
    <t>Weather guard paint( 2 coat)</t>
  </si>
  <si>
    <t>Ltr</t>
  </si>
  <si>
    <t>Masking tape</t>
  </si>
  <si>
    <t>Roll</t>
  </si>
  <si>
    <t>Scrapers</t>
  </si>
  <si>
    <t>Total  materials</t>
  </si>
  <si>
    <t>day</t>
  </si>
  <si>
    <t>Painter</t>
  </si>
  <si>
    <t xml:space="preserve">Surfaces internally </t>
  </si>
  <si>
    <t>lime</t>
  </si>
  <si>
    <t>Plastered walls</t>
  </si>
  <si>
    <t>kg</t>
  </si>
  <si>
    <t>induit/undercoat for sticco(whiting)</t>
  </si>
  <si>
    <t>tin</t>
  </si>
  <si>
    <t>Painter(undercoat, sticco and paint )</t>
  </si>
  <si>
    <t>Stone masonry foundation</t>
  </si>
  <si>
    <t>Supply and laying of burnt bricks for wall with motar ratio (1:6)</t>
  </si>
  <si>
    <t>Supply and laying approved hardcore for foundation with motar ratio (1:5)</t>
  </si>
  <si>
    <t>RCC door&amp; window lintel</t>
  </si>
  <si>
    <t xml:space="preserve">Floor Slab </t>
  </si>
  <si>
    <t xml:space="preserve">150mm thick  Floor Slab: 100mm stone, 50mm concrete (1:4:8) ratio </t>
  </si>
  <si>
    <t>Blinding concrete 50mm of ratio cement-sand-aggregates (1:4:8)</t>
  </si>
  <si>
    <t>Total Labour</t>
  </si>
  <si>
    <t>25MPa concrete, cement-sand-aggregate ratio (1:2:4)</t>
  </si>
  <si>
    <t xml:space="preserve">32mm Screed finishing </t>
  </si>
  <si>
    <t>15 mm thick cement and sand (1:4) render to masonry and concrete to receive specialist finish (ms) external</t>
  </si>
  <si>
    <t>Supply, assemble and put in place Phenolic,resin film faced plywood  formwork or equal and approved concrete shuttering material by Structural Engineer including all necessary supports such as steel and nails as described to:-</t>
  </si>
  <si>
    <t>Formwork Sides of column and wall bases</t>
  </si>
  <si>
    <t>Marine Plywood</t>
  </si>
  <si>
    <t>Pcs</t>
  </si>
  <si>
    <t>Timber</t>
  </si>
  <si>
    <t>Nails</t>
  </si>
  <si>
    <t>Kgs</t>
  </si>
  <si>
    <t>Total Materials (Formwork)</t>
  </si>
  <si>
    <t>Carpenter</t>
  </si>
  <si>
    <t>Total Labour (Formwork)</t>
  </si>
  <si>
    <t>supervisor</t>
  </si>
  <si>
    <t>Excavation of foundation trenches, sub column, column base</t>
  </si>
  <si>
    <t xml:space="preserve">Excavate foundation trenches  800mm deep </t>
  </si>
  <si>
    <t>Forwork to Sides of Columns</t>
  </si>
  <si>
    <t xml:space="preserve">Column bases (700*700*150)mm </t>
  </si>
  <si>
    <t>floor slab</t>
  </si>
  <si>
    <t>column base</t>
  </si>
  <si>
    <t>Ready mix concrete c30</t>
  </si>
  <si>
    <t>TOTAL MATERIALS</t>
  </si>
  <si>
    <t>Reinforced concrete class 35/20 aggregate as described in:</t>
  </si>
  <si>
    <t>culumn base</t>
  </si>
  <si>
    <t>sub column</t>
  </si>
  <si>
    <t>Columns</t>
  </si>
  <si>
    <t>Steel Reinforcement</t>
  </si>
  <si>
    <t>Steel bars (Assorted Size)</t>
  </si>
  <si>
    <t>Binding Wire</t>
  </si>
  <si>
    <t>Total Materials (Steel Reinforcement)</t>
  </si>
  <si>
    <t>Steel fixer</t>
  </si>
  <si>
    <t>porter</t>
  </si>
  <si>
    <t>Total Labour (Steel Reinforcement)</t>
  </si>
  <si>
    <t xml:space="preserve">Total Equipment </t>
  </si>
  <si>
    <t xml:space="preserve">Total Labour </t>
  </si>
  <si>
    <t xml:space="preserve">Excavate for column base &amp;sub column (700*700*1150)mm </t>
  </si>
  <si>
    <t xml:space="preserve">Total Materials </t>
  </si>
  <si>
    <t>10.01</t>
  </si>
  <si>
    <t>Internal wall finishesSupply and fix 10 mm First coat of cement/sand (1:3), 3 mm second coat of cement/lime putty (1:5) steel trowelled smooth to:-</t>
  </si>
  <si>
    <t>Formwork on Sides of sub column</t>
  </si>
  <si>
    <t>total labour</t>
  </si>
  <si>
    <t>DESCRIPTION</t>
  </si>
  <si>
    <t>UNIT</t>
  </si>
  <si>
    <t>QUANTITY</t>
  </si>
  <si>
    <t>RATE</t>
  </si>
  <si>
    <t>AMOUNT (RWF)</t>
  </si>
  <si>
    <t>Internal wall finishes Supply and fix 10 mm First coat of cement/sand (1:3), 3 mm second coat of cement/lime putty (1:5):-</t>
  </si>
  <si>
    <t>Internal wall finishes Supply and fix 10 mm First coat of cement/sand (1:3), 3 mm second coat of cement/lime putty (1:5) :-</t>
  </si>
  <si>
    <t>Total Materials</t>
  </si>
  <si>
    <t>Gypsum Fixer</t>
  </si>
  <si>
    <t>Total  (LABOUR)</t>
  </si>
  <si>
    <t>1900x1500mm size</t>
  </si>
  <si>
    <t>No</t>
  </si>
  <si>
    <t>1000x2450mm size</t>
  </si>
  <si>
    <t>Aluminum windows Supply and fix Purpose, fire resisting; price to include frames, ironmongery, glazing beads and wash leather strips including mosquito nets:</t>
  </si>
  <si>
    <t>Aluminium door divided into different panels and including 6mm thick Tinted glass complete with 45 x 20 mm anodized aluminium beads, rubber gaskets with all necessary opening accessories :</t>
  </si>
  <si>
    <t>1800x2100mm size with 2 sidelights Single Door</t>
  </si>
  <si>
    <t xml:space="preserve"> Materials</t>
  </si>
  <si>
    <t>screws</t>
  </si>
  <si>
    <t>box(250)</t>
  </si>
  <si>
    <t>Black silicon</t>
  </si>
  <si>
    <t>roll</t>
  </si>
  <si>
    <t>equipment</t>
  </si>
  <si>
    <t xml:space="preserve">Supply and fixing Roof coverings </t>
  </si>
  <si>
    <t>Painting: Supply, Prepare and apply three coats first quality emulsion paint on:</t>
  </si>
  <si>
    <t>Roof covering sheet</t>
  </si>
  <si>
    <t>window</t>
  </si>
  <si>
    <t>no</t>
  </si>
  <si>
    <t>40x40x2mm RHS struts</t>
  </si>
  <si>
    <t>LM</t>
  </si>
  <si>
    <t>Steel Materials</t>
  </si>
  <si>
    <t>RHS 40*40*2mm</t>
  </si>
  <si>
    <t>PC</t>
  </si>
  <si>
    <t>cutting disc</t>
  </si>
  <si>
    <t>welding rods</t>
  </si>
  <si>
    <t>pck</t>
  </si>
  <si>
    <t>red oxide</t>
  </si>
  <si>
    <t>thinner</t>
  </si>
  <si>
    <t>enamel paint</t>
  </si>
  <si>
    <t>Mastic p38</t>
  </si>
  <si>
    <t>pcs of 4kg</t>
  </si>
  <si>
    <t>welding machine</t>
  </si>
  <si>
    <t>grinder</t>
  </si>
  <si>
    <t>welder</t>
  </si>
  <si>
    <t>Classes, Dining area, Kitchen, Stock</t>
  </si>
  <si>
    <t>Sleeping area, Office area</t>
  </si>
  <si>
    <t xml:space="preserve"> Single Door</t>
  </si>
  <si>
    <t>1000x1500mm size</t>
  </si>
  <si>
    <t>900x2100mm size with 2 sidelights Single Door</t>
  </si>
  <si>
    <t>Double Door</t>
  </si>
  <si>
    <t>900x2100mm size with Single Door</t>
  </si>
  <si>
    <t>Single Door</t>
  </si>
  <si>
    <t>800x2100mm size with 2 Single Door</t>
  </si>
  <si>
    <t>400x4500mm size</t>
  </si>
  <si>
    <t>total equipment</t>
  </si>
  <si>
    <t>Plywood</t>
  </si>
  <si>
    <t>capenter</t>
  </si>
  <si>
    <t>Ceiling Tiles 500×500mm</t>
  </si>
  <si>
    <t>CEILING</t>
  </si>
  <si>
    <t>ROOF</t>
  </si>
  <si>
    <t>Total</t>
  </si>
  <si>
    <t>burnt bricks</t>
  </si>
  <si>
    <t>Roller</t>
  </si>
  <si>
    <t>No.</t>
  </si>
  <si>
    <t>Brush</t>
  </si>
  <si>
    <t xml:space="preserve">Cement </t>
  </si>
  <si>
    <t xml:space="preserve">Aggregates </t>
  </si>
  <si>
    <t>Plywood ceiling (triplex)</t>
  </si>
  <si>
    <t>screw box (250)</t>
  </si>
  <si>
    <t>box</t>
  </si>
  <si>
    <t>SUMMARY OF MATERIALS</t>
  </si>
  <si>
    <t>Sand (amavuta)</t>
  </si>
  <si>
    <t>500*500mm  Floor tiling with 1:4 ratio mortar</t>
  </si>
  <si>
    <t>Sand(AMAVUTA)</t>
  </si>
  <si>
    <t>Water</t>
  </si>
  <si>
    <t>spacers</t>
  </si>
  <si>
    <t>pack</t>
  </si>
  <si>
    <t>Supply and fix 500x500x8mm thick  Ceramic wall tiles to walls&amp; floor</t>
  </si>
  <si>
    <t>MATERIALS</t>
  </si>
  <si>
    <t>UNIT PRICE</t>
  </si>
  <si>
    <t>TOTAL PRICE</t>
  </si>
  <si>
    <t xml:space="preserve">Sub-base layer of approved natural  gravel material </t>
  </si>
  <si>
    <t>cum</t>
  </si>
  <si>
    <t>Fuel</t>
  </si>
  <si>
    <t>Murram</t>
  </si>
  <si>
    <t>Equipment</t>
  </si>
  <si>
    <t>Excavator</t>
  </si>
  <si>
    <t>Hrs</t>
  </si>
  <si>
    <t>Tipper Truck</t>
  </si>
  <si>
    <t>Wheel Loader</t>
  </si>
  <si>
    <t>Grader</t>
  </si>
  <si>
    <t>Water Bowser</t>
  </si>
  <si>
    <t>Compactor</t>
  </si>
  <si>
    <t>Total Equipment</t>
  </si>
  <si>
    <t>sqm</t>
  </si>
  <si>
    <t>21*10*6.3cm Ruliba Paving block</t>
  </si>
  <si>
    <t>Tipper Trucks</t>
  </si>
  <si>
    <t xml:space="preserve">Provision and installation of 21*10*6.3cm thick </t>
  </si>
  <si>
    <t>OUTDOOR PAVERS</t>
  </si>
  <si>
    <t>ITEM</t>
  </si>
  <si>
    <t>TOTAL</t>
  </si>
  <si>
    <t>ECD classes</t>
  </si>
  <si>
    <t>Office space</t>
  </si>
  <si>
    <t>Sleeping area</t>
  </si>
  <si>
    <t>Dining area</t>
  </si>
  <si>
    <t>Toilet&amp; Bathroom</t>
  </si>
  <si>
    <t>Stock&amp; kitchen</t>
  </si>
  <si>
    <t>Pavers</t>
  </si>
  <si>
    <t>Plumbing</t>
  </si>
  <si>
    <t>Electricity</t>
  </si>
  <si>
    <t>TOTAL (RwF)</t>
  </si>
  <si>
    <t>Contigency (15%)</t>
  </si>
  <si>
    <t>Roof&amp; Ceiling,Outdoor Paver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</si>
</sst>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00_);_(* \(#,##0.000\);_(* &quot;-&quot;??_);_(@_)"/>
    <numFmt numFmtId="167" formatCode="#,##0.0"/>
    <numFmt numFmtId="168" formatCode="_([$RWF]\ * #,##0.00_);_([$RWF]\ * \(#,##0.00\);_([$RWF]\ * &quot;-&quot;??_);_(@_)"/>
    <numFmt numFmtId="169" formatCode="_(* #,##0.0_);_(* \(#,##0.0\);_(* &quot;-&quot;??_);_(@_)"/>
    <numFmt numFmtId="170" formatCode="_(* #,##0.0000_);_(* \(#,##0.0000\);_(* &quot;-&quot;??_);_(@_)"/>
    <numFmt numFmtId="171" formatCode="_-* #,##0.0000_-;\-* #,##0.0000_-;_-* &quot;-&quot;_-;_-@_-"/>
  </numFmts>
  <fonts count="4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2"/>
      <color rgb="FFFF0000"/>
      <name val="Comic Sans MS"/>
      <family val="4"/>
    </font>
    <font>
      <sz val="12"/>
      <color theme="1"/>
      <name val="Condensed"/>
    </font>
    <font>
      <sz val="10"/>
      <name val="Comic Sans MS"/>
      <family val="4"/>
    </font>
    <font>
      <b/>
      <sz val="10"/>
      <name val="Comic Sans MS"/>
      <family val="4"/>
    </font>
    <font>
      <sz val="10"/>
      <color theme="8"/>
      <name val="Comic Sans MS"/>
      <family val="4"/>
    </font>
    <font>
      <sz val="12"/>
      <color theme="1"/>
      <name val="Sylfaen"/>
      <family val="1"/>
    </font>
    <font>
      <b/>
      <sz val="12"/>
      <name val="Sylfaen"/>
      <family val="1"/>
    </font>
    <font>
      <b/>
      <sz val="12"/>
      <color theme="1"/>
      <name val="Sylfaen"/>
      <family val="1"/>
    </font>
    <font>
      <sz val="10"/>
      <color rgb="FFFF0000"/>
      <name val="Comic Sans MS"/>
      <family val="4"/>
    </font>
    <font>
      <sz val="10"/>
      <color theme="9"/>
      <name val="Comic Sans MS"/>
      <family val="4"/>
    </font>
    <font>
      <b/>
      <sz val="10"/>
      <color theme="9"/>
      <name val="Comic Sans MS"/>
      <family val="4"/>
    </font>
    <font>
      <sz val="10"/>
      <color theme="1"/>
      <name val="Comic Sans MS"/>
      <family val="4"/>
    </font>
    <font>
      <sz val="12"/>
      <name val="Comic Sans MS"/>
      <family val="4"/>
    </font>
    <font>
      <sz val="12"/>
      <color theme="1"/>
      <name val="Calibri"/>
      <family val="2"/>
      <scheme val="minor"/>
    </font>
    <font>
      <sz val="12"/>
      <color theme="1"/>
      <name val="Comic Sans MS"/>
      <family val="4"/>
    </font>
    <font>
      <b/>
      <sz val="10"/>
      <color theme="1"/>
      <name val="Comic Sans MS"/>
      <family val="4"/>
    </font>
    <font>
      <b/>
      <sz val="12"/>
      <name val="Comic Sans MS"/>
      <family val="4"/>
    </font>
    <font>
      <sz val="11"/>
      <name val="Calibri"/>
      <family val="2"/>
      <scheme val="minor"/>
    </font>
    <font>
      <b/>
      <sz val="10"/>
      <color rgb="FFFF0000"/>
      <name val="Comic Sans MS"/>
      <family val="4"/>
    </font>
    <font>
      <b/>
      <sz val="11"/>
      <name val="Calibri"/>
      <family val="2"/>
      <scheme val="minor"/>
    </font>
    <font>
      <sz val="11"/>
      <color theme="1"/>
      <name val="Comic Sans MS"/>
      <family val="4"/>
    </font>
    <font>
      <sz val="11"/>
      <color rgb="FFFF0000"/>
      <name val="Comic Sans MS"/>
      <family val="4"/>
    </font>
    <font>
      <sz val="11"/>
      <name val="Comic Sans MS"/>
      <family val="4"/>
    </font>
    <font>
      <b/>
      <sz val="11"/>
      <name val="Comic Sans MS"/>
      <family val="4"/>
    </font>
    <font>
      <b/>
      <sz val="11"/>
      <color theme="1"/>
      <name val="Comic Sans MS"/>
      <family val="4"/>
    </font>
    <font>
      <b/>
      <sz val="12"/>
      <color theme="1"/>
      <name val="Comic Sans MS"/>
      <family val="4"/>
    </font>
    <font>
      <b/>
      <sz val="14"/>
      <name val="Comic Sans MS"/>
      <family val="4"/>
    </font>
    <font>
      <sz val="10"/>
      <color theme="1"/>
      <name val="Calibri"/>
      <family val="2"/>
      <scheme val="minor"/>
    </font>
    <font>
      <b/>
      <sz val="12"/>
      <color theme="1"/>
      <name val="Calibri"/>
      <family val="2"/>
      <scheme val="minor"/>
    </font>
    <font>
      <b/>
      <sz val="14"/>
      <color theme="1"/>
      <name val="Comic Sans MS"/>
      <family val="4"/>
    </font>
    <font>
      <b/>
      <sz val="20"/>
      <color theme="1"/>
      <name val="Comic Sans MS"/>
      <family val="4"/>
    </font>
    <font>
      <b/>
      <sz val="12"/>
      <color rgb="FFFF0000"/>
      <name val="Comic Sans MS"/>
      <family val="4"/>
    </font>
    <font>
      <sz val="12"/>
      <color indexed="8"/>
      <name val="Comic Sans MS"/>
      <family val="4"/>
    </font>
    <font>
      <sz val="12"/>
      <color rgb="FFFF0000"/>
      <name val="Calibri"/>
      <family val="2"/>
      <scheme val="minor"/>
    </font>
    <font>
      <b/>
      <sz val="12"/>
      <color indexed="8"/>
      <name val="Comic Sans MS"/>
      <family val="4"/>
    </font>
    <font>
      <b/>
      <sz val="22"/>
      <color theme="1"/>
      <name val="Comic Sans MS"/>
      <family val="4"/>
    </font>
    <font>
      <b/>
      <sz val="24"/>
      <color theme="1"/>
      <name val="Comic Sans MS"/>
      <family val="4"/>
    </font>
    <font>
      <sz val="11"/>
      <color rgb="FF000000"/>
      <name val="Calibri"/>
      <family val="2"/>
    </font>
    <font>
      <b/>
      <sz val="18"/>
      <color theme="1"/>
      <name val="Comic Sans MS Bold"/>
    </font>
    <font>
      <sz val="18"/>
      <color theme="4" tint="-0.499984740745262"/>
      <name val="Comic Sans MS Bold"/>
    </font>
    <font>
      <sz val="9"/>
      <color indexed="81"/>
      <name val="Tahoma"/>
      <family val="2"/>
    </font>
    <font>
      <b/>
      <sz val="9"/>
      <color indexed="81"/>
      <name val="Tahoma"/>
      <family val="2"/>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s>
  <cellStyleXfs count="12">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cellStyleXfs>
  <cellXfs count="502">
    <xf numFmtId="0" fontId="0" fillId="0" borderId="0" xfId="0"/>
    <xf numFmtId="2" fontId="5" fillId="2" borderId="1" xfId="4" applyNumberFormat="1" applyFont="1" applyFill="1" applyBorder="1" applyAlignment="1">
      <alignment horizontal="center" vertical="center"/>
    </xf>
    <xf numFmtId="0" fontId="5" fillId="2" borderId="1" xfId="0" applyFont="1" applyFill="1" applyBorder="1" applyAlignment="1">
      <alignment horizontal="left" vertical="center" wrapText="1"/>
    </xf>
    <xf numFmtId="165" fontId="5" fillId="2" borderId="1" xfId="1" applyNumberFormat="1" applyFont="1" applyFill="1" applyBorder="1" applyAlignment="1">
      <alignment horizontal="center" vertical="center"/>
    </xf>
    <xf numFmtId="165" fontId="5" fillId="2" borderId="1" xfId="1" applyNumberFormat="1" applyFont="1" applyFill="1" applyBorder="1" applyAlignment="1">
      <alignment vertical="center"/>
    </xf>
    <xf numFmtId="165" fontId="7" fillId="3" borderId="1" xfId="1" applyNumberFormat="1" applyFont="1" applyFill="1" applyBorder="1" applyAlignment="1">
      <alignment horizontal="center"/>
    </xf>
    <xf numFmtId="165" fontId="6" fillId="0" borderId="0" xfId="1" applyNumberFormat="1" applyFont="1" applyFill="1"/>
    <xf numFmtId="43" fontId="6" fillId="0" borderId="0" xfId="1" applyFont="1" applyFill="1"/>
    <xf numFmtId="165" fontId="8" fillId="0" borderId="1" xfId="1" applyNumberFormat="1" applyFont="1" applyFill="1" applyBorder="1" applyAlignment="1">
      <alignment horizontal="left" vertical="center" wrapText="1"/>
    </xf>
    <xf numFmtId="165" fontId="7" fillId="0" borderId="1" xfId="1" applyNumberFormat="1" applyFont="1" applyFill="1" applyBorder="1" applyAlignment="1">
      <alignment horizontal="center" vertical="center"/>
    </xf>
    <xf numFmtId="0" fontId="7" fillId="0" borderId="1" xfId="0" applyFont="1" applyBorder="1" applyAlignment="1">
      <alignment wrapText="1"/>
    </xf>
    <xf numFmtId="165" fontId="8" fillId="0" borderId="1" xfId="1" applyNumberFormat="1" applyFont="1" applyFill="1" applyBorder="1" applyAlignment="1">
      <alignment horizontal="left" vertical="center"/>
    </xf>
    <xf numFmtId="165" fontId="8" fillId="0" borderId="1" xfId="1" applyNumberFormat="1" applyFont="1" applyFill="1" applyBorder="1" applyAlignment="1">
      <alignment horizontal="center" vertical="center"/>
    </xf>
    <xf numFmtId="165" fontId="7" fillId="0" borderId="1" xfId="1" applyNumberFormat="1" applyFont="1" applyFill="1" applyBorder="1" applyAlignment="1">
      <alignment horizontal="left" vertical="center" wrapText="1"/>
    </xf>
    <xf numFmtId="0" fontId="8" fillId="0" borderId="1" xfId="0" applyFont="1" applyBorder="1" applyAlignment="1">
      <alignment horizontal="right" vertical="center"/>
    </xf>
    <xf numFmtId="0" fontId="5" fillId="2" borderId="1" xfId="0" applyFont="1" applyFill="1" applyBorder="1" applyAlignment="1">
      <alignment horizontal="center" vertical="center"/>
    </xf>
    <xf numFmtId="165" fontId="5" fillId="2" borderId="1" xfId="1" applyNumberFormat="1" applyFont="1" applyFill="1" applyBorder="1" applyAlignment="1">
      <alignment horizontal="left" vertical="center" wrapText="1"/>
    </xf>
    <xf numFmtId="43" fontId="5" fillId="2" borderId="1" xfId="1" applyFont="1" applyFill="1" applyBorder="1" applyAlignment="1">
      <alignment horizontal="center" vertical="center"/>
    </xf>
    <xf numFmtId="0" fontId="7" fillId="3" borderId="1" xfId="0" applyFont="1" applyFill="1" applyBorder="1" applyAlignment="1">
      <alignment horizontal="center" vertical="center"/>
    </xf>
    <xf numFmtId="165" fontId="7" fillId="3" borderId="1" xfId="1" applyNumberFormat="1" applyFont="1" applyFill="1" applyBorder="1" applyAlignment="1">
      <alignment horizontal="left" vertical="center" wrapText="1"/>
    </xf>
    <xf numFmtId="165" fontId="7" fillId="3" borderId="1" xfId="1" applyNumberFormat="1" applyFont="1" applyFill="1" applyBorder="1" applyAlignment="1">
      <alignment horizontal="center" vertical="center"/>
    </xf>
    <xf numFmtId="43" fontId="7" fillId="0" borderId="1" xfId="1" applyFont="1" applyFill="1" applyBorder="1" applyAlignment="1">
      <alignment vertical="center" wrapText="1"/>
    </xf>
    <xf numFmtId="43" fontId="8" fillId="0" borderId="1" xfId="1" applyFont="1" applyFill="1" applyBorder="1" applyAlignment="1">
      <alignment vertical="center" wrapText="1"/>
    </xf>
    <xf numFmtId="43" fontId="7" fillId="0" borderId="1" xfId="1" applyFont="1" applyFill="1" applyBorder="1" applyAlignment="1">
      <alignment horizontal="center" vertical="center" wrapText="1"/>
    </xf>
    <xf numFmtId="43" fontId="7" fillId="0" borderId="1" xfId="1" applyFont="1" applyFill="1" applyBorder="1" applyAlignment="1">
      <alignment horizontal="center" vertical="center"/>
    </xf>
    <xf numFmtId="43" fontId="7" fillId="0" borderId="1" xfId="1" applyFont="1" applyFill="1" applyBorder="1" applyAlignment="1">
      <alignment vertical="center"/>
    </xf>
    <xf numFmtId="0" fontId="10" fillId="0" borderId="0" xfId="0" applyFont="1"/>
    <xf numFmtId="43" fontId="10" fillId="0" borderId="0" xfId="1" applyFont="1"/>
    <xf numFmtId="43" fontId="8" fillId="0" borderId="1" xfId="1" applyFont="1" applyFill="1" applyBorder="1" applyAlignment="1">
      <alignment horizontal="center" vertical="center" wrapText="1"/>
    </xf>
    <xf numFmtId="43" fontId="8" fillId="0" borderId="1" xfId="1" applyFont="1" applyFill="1" applyBorder="1" applyAlignment="1">
      <alignment horizontal="center" vertical="center"/>
    </xf>
    <xf numFmtId="0" fontId="12" fillId="0" borderId="0" xfId="0" applyFont="1"/>
    <xf numFmtId="165" fontId="10" fillId="0" borderId="0" xfId="1" applyNumberFormat="1" applyFont="1" applyFill="1"/>
    <xf numFmtId="43" fontId="10" fillId="0" borderId="0" xfId="1" applyFont="1" applyFill="1"/>
    <xf numFmtId="43" fontId="8" fillId="0" borderId="1" xfId="1" applyFont="1" applyFill="1" applyBorder="1" applyAlignment="1">
      <alignment vertical="center"/>
    </xf>
    <xf numFmtId="165" fontId="13" fillId="2" borderId="1" xfId="1" applyNumberFormat="1" applyFont="1" applyFill="1" applyBorder="1" applyAlignment="1">
      <alignment horizontal="left" vertical="center" wrapText="1"/>
    </xf>
    <xf numFmtId="165" fontId="13" fillId="2" borderId="1" xfId="1" applyNumberFormat="1" applyFont="1" applyFill="1" applyBorder="1" applyAlignment="1">
      <alignment horizontal="center" vertical="center"/>
    </xf>
    <xf numFmtId="165" fontId="13" fillId="2" borderId="1" xfId="1" applyNumberFormat="1" applyFont="1" applyFill="1" applyBorder="1" applyAlignment="1">
      <alignment horizontal="center"/>
    </xf>
    <xf numFmtId="165" fontId="13" fillId="2" borderId="1" xfId="1" applyNumberFormat="1" applyFont="1" applyFill="1" applyBorder="1" applyAlignment="1">
      <alignment vertical="center"/>
    </xf>
    <xf numFmtId="165" fontId="7" fillId="0" borderId="1" xfId="1" applyNumberFormat="1" applyFont="1" applyFill="1" applyBorder="1" applyAlignment="1">
      <alignment horizontal="center"/>
    </xf>
    <xf numFmtId="0" fontId="11" fillId="0" borderId="0" xfId="0" applyFont="1"/>
    <xf numFmtId="43" fontId="11" fillId="0" borderId="0" xfId="1" applyFont="1"/>
    <xf numFmtId="43" fontId="5" fillId="2" borderId="1" xfId="1" applyFont="1" applyFill="1" applyBorder="1" applyAlignment="1">
      <alignment horizontal="center" vertical="center" wrapText="1"/>
    </xf>
    <xf numFmtId="165" fontId="10" fillId="3" borderId="0" xfId="1" applyNumberFormat="1" applyFont="1" applyFill="1"/>
    <xf numFmtId="43" fontId="10" fillId="3" borderId="0" xfId="1" applyFont="1" applyFill="1"/>
    <xf numFmtId="0" fontId="7" fillId="0" borderId="1" xfId="0" applyFont="1" applyBorder="1" applyAlignment="1">
      <alignment horizontal="center" vertical="center"/>
    </xf>
    <xf numFmtId="3" fontId="7" fillId="0" borderId="1" xfId="0" applyNumberFormat="1" applyFont="1" applyBorder="1" applyAlignment="1">
      <alignment vertical="center"/>
    </xf>
    <xf numFmtId="165" fontId="7" fillId="0" borderId="1" xfId="1" applyNumberFormat="1" applyFont="1" applyFill="1" applyBorder="1" applyAlignment="1">
      <alignment vertical="center"/>
    </xf>
    <xf numFmtId="43" fontId="13" fillId="0" borderId="1" xfId="1" applyFont="1" applyFill="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horizontal="center" vertical="center"/>
    </xf>
    <xf numFmtId="165" fontId="13" fillId="0" borderId="1" xfId="1" applyNumberFormat="1" applyFont="1" applyFill="1" applyBorder="1" applyAlignment="1">
      <alignment horizontal="center" vertical="center"/>
    </xf>
    <xf numFmtId="165" fontId="13" fillId="0" borderId="1" xfId="1" applyNumberFormat="1" applyFont="1" applyFill="1" applyBorder="1" applyAlignment="1">
      <alignment vertical="center"/>
    </xf>
    <xf numFmtId="0" fontId="10" fillId="3" borderId="0" xfId="0" applyFont="1" applyFill="1"/>
    <xf numFmtId="0" fontId="0" fillId="3" borderId="0" xfId="0" applyFill="1"/>
    <xf numFmtId="0" fontId="22" fillId="3" borderId="0" xfId="0" applyFont="1" applyFill="1"/>
    <xf numFmtId="0" fontId="22" fillId="0" borderId="0" xfId="0" applyFont="1"/>
    <xf numFmtId="43" fontId="7" fillId="3" borderId="1" xfId="1" applyFont="1" applyFill="1" applyBorder="1" applyAlignment="1">
      <alignment horizontal="center" vertical="center" wrapText="1"/>
    </xf>
    <xf numFmtId="43" fontId="8" fillId="3" borderId="1" xfId="1" applyFont="1" applyFill="1" applyBorder="1" applyAlignment="1">
      <alignment horizontal="center" vertical="center" wrapText="1"/>
    </xf>
    <xf numFmtId="0" fontId="24" fillId="3" borderId="0" xfId="0" applyFont="1" applyFill="1"/>
    <xf numFmtId="0" fontId="24" fillId="0" borderId="0" xfId="0" applyFont="1"/>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165" fontId="8" fillId="0" borderId="1" xfId="1" applyNumberFormat="1" applyFont="1" applyFill="1" applyBorder="1" applyAlignment="1">
      <alignment vertical="center"/>
    </xf>
    <xf numFmtId="0" fontId="3" fillId="0" borderId="0" xfId="0" applyFont="1"/>
    <xf numFmtId="0" fontId="2" fillId="0" borderId="0" xfId="0" applyFont="1"/>
    <xf numFmtId="0" fontId="13" fillId="2" borderId="1" xfId="0" applyFont="1" applyFill="1" applyBorder="1" applyAlignment="1">
      <alignment horizontal="center" vertical="center"/>
    </xf>
    <xf numFmtId="0" fontId="2" fillId="3" borderId="0" xfId="0" applyFont="1" applyFill="1"/>
    <xf numFmtId="43" fontId="0" fillId="0" borderId="0" xfId="0" applyNumberFormat="1"/>
    <xf numFmtId="43" fontId="23" fillId="0" borderId="1" xfId="1" applyFont="1" applyFill="1" applyBorder="1" applyAlignment="1">
      <alignment horizontal="center" vertical="center" wrapText="1"/>
    </xf>
    <xf numFmtId="43" fontId="13" fillId="2" borderId="1" xfId="1" applyFont="1" applyFill="1" applyBorder="1" applyAlignment="1">
      <alignment horizontal="center" vertical="center" wrapText="1"/>
    </xf>
    <xf numFmtId="0" fontId="0" fillId="0" borderId="0" xfId="0" applyAlignment="1">
      <alignment horizontal="center"/>
    </xf>
    <xf numFmtId="0" fontId="10" fillId="0" borderId="0" xfId="0" applyFont="1" applyAlignment="1">
      <alignment horizontal="center"/>
    </xf>
    <xf numFmtId="165" fontId="10" fillId="0" borderId="0" xfId="1" applyNumberFormat="1" applyFont="1" applyFill="1" applyAlignment="1">
      <alignment horizontal="center"/>
    </xf>
    <xf numFmtId="0" fontId="11" fillId="0" borderId="0" xfId="0" applyFont="1" applyAlignment="1">
      <alignment horizontal="center"/>
    </xf>
    <xf numFmtId="0" fontId="12" fillId="0" borderId="0" xfId="0" applyFont="1" applyAlignment="1">
      <alignment horizontal="center"/>
    </xf>
    <xf numFmtId="43" fontId="12" fillId="0" borderId="0" xfId="1" applyFont="1" applyFill="1"/>
    <xf numFmtId="165" fontId="11" fillId="0" borderId="0" xfId="1" applyNumberFormat="1" applyFont="1" applyFill="1"/>
    <xf numFmtId="165" fontId="11" fillId="0" borderId="0" xfId="1" applyNumberFormat="1" applyFont="1" applyFill="1" applyAlignment="1">
      <alignment horizontal="center"/>
    </xf>
    <xf numFmtId="43" fontId="11" fillId="0" borderId="0" xfId="1" applyFont="1" applyFill="1"/>
    <xf numFmtId="165" fontId="6" fillId="0" borderId="0" xfId="1" applyNumberFormat="1" applyFont="1" applyFill="1" applyAlignment="1">
      <alignment horizontal="center"/>
    </xf>
    <xf numFmtId="0" fontId="0" fillId="0" borderId="0" xfId="0" applyAlignment="1">
      <alignment vertical="center"/>
    </xf>
    <xf numFmtId="0" fontId="29" fillId="0" borderId="0" xfId="0" applyFont="1"/>
    <xf numFmtId="0" fontId="30" fillId="0" borderId="0" xfId="0" applyFont="1"/>
    <xf numFmtId="2" fontId="25" fillId="0" borderId="0" xfId="0" applyNumberFormat="1" applyFont="1" applyAlignment="1">
      <alignment horizontal="center" vertical="center"/>
    </xf>
    <xf numFmtId="2" fontId="21" fillId="0" borderId="1" xfId="1" applyNumberFormat="1" applyFont="1" applyFill="1" applyBorder="1" applyAlignment="1">
      <alignment horizontal="center" vertical="center" wrapText="1"/>
    </xf>
    <xf numFmtId="0" fontId="19" fillId="0" borderId="0" xfId="0" applyFont="1"/>
    <xf numFmtId="2" fontId="17" fillId="0" borderId="1" xfId="1" applyNumberFormat="1" applyFont="1" applyFill="1" applyBorder="1" applyAlignment="1">
      <alignment horizontal="center" vertical="center"/>
    </xf>
    <xf numFmtId="2" fontId="21" fillId="0" borderId="1" xfId="1" applyNumberFormat="1" applyFont="1" applyFill="1" applyBorder="1" applyAlignment="1">
      <alignment horizontal="center" vertical="center"/>
    </xf>
    <xf numFmtId="0" fontId="32" fillId="0" borderId="0" xfId="0" applyFont="1"/>
    <xf numFmtId="0" fontId="18" fillId="0" borderId="0" xfId="0" applyFont="1"/>
    <xf numFmtId="0" fontId="33" fillId="0" borderId="0" xfId="0" applyFont="1"/>
    <xf numFmtId="2" fontId="17" fillId="0" borderId="1" xfId="1" applyNumberFormat="1" applyFont="1" applyFill="1" applyBorder="1" applyAlignment="1">
      <alignment horizontal="center" vertical="center" wrapText="1"/>
    </xf>
    <xf numFmtId="2" fontId="17"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43" fontId="21" fillId="0" borderId="1" xfId="1" applyFont="1" applyFill="1" applyBorder="1" applyAlignment="1">
      <alignment horizontal="center" vertical="center" wrapText="1"/>
    </xf>
    <xf numFmtId="0" fontId="7" fillId="0" borderId="1" xfId="0" applyFont="1" applyBorder="1" applyAlignment="1">
      <alignment horizontal="left" wrapText="1"/>
    </xf>
    <xf numFmtId="43" fontId="8" fillId="0" borderId="1" xfId="1" applyFont="1" applyFill="1" applyBorder="1" applyAlignment="1">
      <alignment horizontal="left" vertical="center" wrapText="1"/>
    </xf>
    <xf numFmtId="43" fontId="7" fillId="0" borderId="1" xfId="1" applyFont="1" applyFill="1" applyBorder="1" applyAlignment="1">
      <alignment horizontal="left" vertical="center" wrapText="1"/>
    </xf>
    <xf numFmtId="43" fontId="5" fillId="2" borderId="1" xfId="1" applyFont="1" applyFill="1" applyBorder="1" applyAlignment="1">
      <alignment horizontal="left" vertical="center" wrapText="1"/>
    </xf>
    <xf numFmtId="43" fontId="13" fillId="2" borderId="1" xfId="1" applyFont="1" applyFill="1" applyBorder="1" applyAlignment="1">
      <alignment horizontal="left" vertical="center" wrapText="1"/>
    </xf>
    <xf numFmtId="43" fontId="8" fillId="3" borderId="1" xfId="1" applyFont="1" applyFill="1" applyBorder="1" applyAlignment="1">
      <alignment horizontal="left" vertical="center" wrapText="1"/>
    </xf>
    <xf numFmtId="43" fontId="7" fillId="3" borderId="1" xfId="1" applyFont="1" applyFill="1" applyBorder="1" applyAlignment="1">
      <alignment horizontal="left" vertical="center" wrapText="1"/>
    </xf>
    <xf numFmtId="0" fontId="7" fillId="3" borderId="1" xfId="0" applyFont="1" applyFill="1" applyBorder="1" applyAlignment="1">
      <alignment horizontal="left" vertical="center" wrapText="1"/>
    </xf>
    <xf numFmtId="0" fontId="30" fillId="0" borderId="1" xfId="0" applyFont="1" applyBorder="1" applyAlignment="1">
      <alignment horizontal="left" vertical="center"/>
    </xf>
    <xf numFmtId="0" fontId="7" fillId="3" borderId="1" xfId="0" applyFont="1" applyFill="1" applyBorder="1" applyAlignment="1">
      <alignment horizontal="left" vertical="center"/>
    </xf>
    <xf numFmtId="43" fontId="13" fillId="0" borderId="1" xfId="1" applyFont="1" applyFill="1" applyBorder="1" applyAlignment="1">
      <alignment horizontal="left" vertical="center" wrapText="1"/>
    </xf>
    <xf numFmtId="0" fontId="0" fillId="0" borderId="0" xfId="0" applyAlignment="1">
      <alignment horizontal="left" vertical="center"/>
    </xf>
    <xf numFmtId="0" fontId="8" fillId="0" borderId="1" xfId="0" applyFont="1" applyBorder="1" applyAlignment="1">
      <alignment vertical="center"/>
    </xf>
    <xf numFmtId="0" fontId="0" fillId="0" borderId="0" xfId="0" applyAlignment="1">
      <alignment horizontal="center" vertical="center"/>
    </xf>
    <xf numFmtId="43" fontId="14" fillId="0" borderId="1" xfId="1" applyFont="1" applyFill="1" applyBorder="1" applyAlignment="1">
      <alignment vertical="center"/>
    </xf>
    <xf numFmtId="43" fontId="15" fillId="0" borderId="1" xfId="1" applyFont="1" applyFill="1" applyBorder="1" applyAlignment="1">
      <alignment vertical="center"/>
    </xf>
    <xf numFmtId="43" fontId="14" fillId="0" borderId="1" xfId="0" applyNumberFormat="1" applyFont="1" applyBorder="1" applyAlignment="1">
      <alignment vertical="center"/>
    </xf>
    <xf numFmtId="43" fontId="14" fillId="0" borderId="1" xfId="1" applyFont="1" applyFill="1" applyBorder="1" applyAlignment="1">
      <alignment horizontal="right" vertical="center"/>
    </xf>
    <xf numFmtId="43" fontId="15" fillId="0" borderId="1" xfId="0" applyNumberFormat="1" applyFont="1" applyBorder="1" applyAlignment="1">
      <alignment horizontal="right" vertical="center"/>
    </xf>
    <xf numFmtId="43" fontId="14" fillId="0" borderId="1" xfId="0" applyNumberFormat="1" applyFont="1" applyBorder="1" applyAlignment="1">
      <alignment horizontal="right" vertical="center"/>
    </xf>
    <xf numFmtId="43" fontId="5" fillId="2" borderId="1" xfId="1" applyFont="1" applyFill="1" applyBorder="1" applyAlignment="1">
      <alignment horizontal="right" vertical="center"/>
    </xf>
    <xf numFmtId="43" fontId="7" fillId="0" borderId="1" xfId="1" applyFont="1" applyFill="1" applyBorder="1" applyAlignment="1">
      <alignment horizontal="right" vertical="center"/>
    </xf>
    <xf numFmtId="43" fontId="9" fillId="0" borderId="1" xfId="1" applyFont="1" applyFill="1" applyBorder="1" applyAlignment="1">
      <alignment horizontal="right" vertical="center"/>
    </xf>
    <xf numFmtId="43" fontId="8" fillId="0" borderId="1" xfId="0" applyNumberFormat="1" applyFont="1" applyBorder="1" applyAlignment="1">
      <alignment horizontal="right" vertical="center"/>
    </xf>
    <xf numFmtId="43" fontId="8" fillId="0" borderId="1" xfId="1" applyFont="1" applyFill="1" applyBorder="1" applyAlignment="1">
      <alignment horizontal="right" vertical="center"/>
    </xf>
    <xf numFmtId="43" fontId="15" fillId="0" borderId="1" xfId="1" applyFont="1" applyFill="1" applyBorder="1" applyAlignment="1">
      <alignment horizontal="right" vertical="center"/>
    </xf>
    <xf numFmtId="43" fontId="14" fillId="3" borderId="1" xfId="1" applyFont="1" applyFill="1" applyBorder="1" applyAlignment="1">
      <alignment horizontal="right" vertical="center"/>
    </xf>
    <xf numFmtId="43" fontId="8" fillId="3" borderId="1" xfId="1" applyFont="1" applyFill="1" applyBorder="1" applyAlignment="1">
      <alignment horizontal="right" vertical="center"/>
    </xf>
    <xf numFmtId="43" fontId="13" fillId="2" borderId="1" xfId="1" applyFont="1" applyFill="1" applyBorder="1" applyAlignment="1">
      <alignment horizontal="right" vertical="center"/>
    </xf>
    <xf numFmtId="43" fontId="13" fillId="2" borderId="1" xfId="0" applyNumberFormat="1" applyFont="1" applyFill="1" applyBorder="1" applyAlignment="1">
      <alignment horizontal="right" vertical="center"/>
    </xf>
    <xf numFmtId="43" fontId="7" fillId="0" borderId="1" xfId="0" applyNumberFormat="1" applyFont="1" applyBorder="1" applyAlignment="1">
      <alignment horizontal="right" vertical="center"/>
    </xf>
    <xf numFmtId="43" fontId="13" fillId="0" borderId="1" xfId="1" applyFont="1" applyFill="1" applyBorder="1" applyAlignment="1">
      <alignment horizontal="right" vertical="center"/>
    </xf>
    <xf numFmtId="43" fontId="21" fillId="0" borderId="1" xfId="1" applyFont="1" applyFill="1" applyBorder="1" applyAlignment="1">
      <alignment horizontal="right" vertical="center"/>
    </xf>
    <xf numFmtId="43" fontId="7" fillId="3" borderId="1" xfId="5" applyNumberFormat="1" applyFont="1" applyFill="1" applyBorder="1" applyAlignment="1">
      <alignment horizontal="right" vertical="center"/>
    </xf>
    <xf numFmtId="43" fontId="7" fillId="2" borderId="1" xfId="1" applyFont="1" applyFill="1" applyBorder="1" applyAlignment="1">
      <alignment horizontal="right" vertical="center"/>
    </xf>
    <xf numFmtId="43" fontId="0" fillId="0" borderId="0" xfId="0" applyNumberFormat="1" applyAlignment="1">
      <alignment horizontal="right" vertical="center"/>
    </xf>
    <xf numFmtId="165" fontId="7" fillId="0" borderId="1" xfId="1" applyNumberFormat="1" applyFont="1" applyFill="1" applyBorder="1" applyAlignment="1">
      <alignment horizontal="right" vertical="center"/>
    </xf>
    <xf numFmtId="165" fontId="5" fillId="2" borderId="1" xfId="1" applyNumberFormat="1" applyFont="1" applyFill="1" applyBorder="1" applyAlignment="1">
      <alignment horizontal="right" vertical="center"/>
    </xf>
    <xf numFmtId="165" fontId="8" fillId="0" borderId="1" xfId="1" applyNumberFormat="1" applyFont="1" applyFill="1" applyBorder="1" applyAlignment="1">
      <alignment horizontal="right" vertical="center"/>
    </xf>
    <xf numFmtId="165" fontId="7" fillId="3" borderId="1" xfId="1" applyNumberFormat="1" applyFont="1" applyFill="1" applyBorder="1" applyAlignment="1">
      <alignment horizontal="right" vertical="center"/>
    </xf>
    <xf numFmtId="43" fontId="7" fillId="3" borderId="1" xfId="1" applyFont="1" applyFill="1" applyBorder="1" applyAlignment="1">
      <alignment horizontal="right" vertical="center"/>
    </xf>
    <xf numFmtId="165" fontId="13" fillId="2" borderId="1" xfId="1" applyNumberFormat="1" applyFont="1" applyFill="1" applyBorder="1" applyAlignment="1">
      <alignment horizontal="right" vertical="center"/>
    </xf>
    <xf numFmtId="3" fontId="13" fillId="2" borderId="1" xfId="0" applyNumberFormat="1" applyFont="1" applyFill="1" applyBorder="1" applyAlignment="1">
      <alignment horizontal="right" vertical="center"/>
    </xf>
    <xf numFmtId="3" fontId="7" fillId="0" borderId="1" xfId="0" applyNumberFormat="1" applyFont="1" applyBorder="1" applyAlignment="1">
      <alignment horizontal="right" vertical="center"/>
    </xf>
    <xf numFmtId="165" fontId="13" fillId="0" borderId="1" xfId="1" applyNumberFormat="1" applyFont="1" applyFill="1" applyBorder="1" applyAlignment="1">
      <alignment horizontal="right" vertical="center"/>
    </xf>
    <xf numFmtId="0" fontId="0" fillId="0" borderId="0" xfId="0" applyAlignment="1">
      <alignment horizontal="right"/>
    </xf>
    <xf numFmtId="43" fontId="8" fillId="0" borderId="1" xfId="1" applyFont="1" applyBorder="1" applyAlignment="1">
      <alignment horizontal="right" vertical="center"/>
    </xf>
    <xf numFmtId="43" fontId="7" fillId="0" borderId="1" xfId="1" applyFont="1" applyBorder="1" applyAlignment="1">
      <alignment horizontal="right" vertical="center"/>
    </xf>
    <xf numFmtId="0" fontId="0" fillId="0" borderId="0" xfId="0" applyAlignment="1">
      <alignment horizontal="right" vertical="center"/>
    </xf>
    <xf numFmtId="165" fontId="7" fillId="0" borderId="1" xfId="1" applyNumberFormat="1" applyFont="1" applyFill="1" applyBorder="1" applyAlignment="1"/>
    <xf numFmtId="43" fontId="7" fillId="3" borderId="1" xfId="1" applyFont="1" applyFill="1" applyBorder="1" applyAlignment="1">
      <alignment horizontal="right" vertical="center" wrapText="1"/>
    </xf>
    <xf numFmtId="0" fontId="34" fillId="0" borderId="0" xfId="0" applyFont="1"/>
    <xf numFmtId="43" fontId="7" fillId="0" borderId="7" xfId="1" applyFont="1" applyFill="1" applyBorder="1" applyAlignment="1">
      <alignment horizontal="center" vertical="center" wrapText="1"/>
    </xf>
    <xf numFmtId="0" fontId="31" fillId="0" borderId="9" xfId="0" applyFont="1" applyBorder="1" applyAlignment="1">
      <alignment horizontal="center" vertical="center" wrapText="1"/>
    </xf>
    <xf numFmtId="2" fontId="30" fillId="0" borderId="11" xfId="0" applyNumberFormat="1" applyFont="1" applyBorder="1" applyAlignment="1">
      <alignment horizontal="center" vertical="center"/>
    </xf>
    <xf numFmtId="2" fontId="26" fillId="2" borderId="11" xfId="0" applyNumberFormat="1" applyFont="1" applyFill="1" applyBorder="1" applyAlignment="1">
      <alignment horizontal="center" vertical="center"/>
    </xf>
    <xf numFmtId="165" fontId="13" fillId="2" borderId="12" xfId="1" applyNumberFormat="1" applyFont="1" applyFill="1" applyBorder="1" applyAlignment="1">
      <alignment horizontal="right" vertical="center"/>
    </xf>
    <xf numFmtId="2" fontId="27" fillId="0" borderId="11" xfId="1" applyNumberFormat="1" applyFont="1" applyFill="1" applyBorder="1" applyAlignment="1">
      <alignment horizontal="center" vertical="center"/>
    </xf>
    <xf numFmtId="165" fontId="7" fillId="0" borderId="12" xfId="1" applyNumberFormat="1" applyFont="1" applyFill="1" applyBorder="1" applyAlignment="1">
      <alignment horizontal="right" vertical="center"/>
    </xf>
    <xf numFmtId="2" fontId="28" fillId="0" borderId="11" xfId="0" applyNumberFormat="1" applyFont="1" applyBorder="1" applyAlignment="1">
      <alignment horizontal="center" vertical="center"/>
    </xf>
    <xf numFmtId="2" fontId="27" fillId="0" borderId="11" xfId="0" applyNumberFormat="1" applyFont="1" applyBorder="1" applyAlignment="1">
      <alignment horizontal="center" vertical="center"/>
    </xf>
    <xf numFmtId="2" fontId="21" fillId="3" borderId="11" xfId="4" applyNumberFormat="1" applyFont="1" applyFill="1" applyBorder="1" applyAlignment="1">
      <alignment horizontal="center" vertical="center"/>
    </xf>
    <xf numFmtId="2" fontId="26" fillId="2" borderId="11" xfId="4" applyNumberFormat="1" applyFont="1" applyFill="1" applyBorder="1" applyAlignment="1">
      <alignment horizontal="center" vertical="center"/>
    </xf>
    <xf numFmtId="165" fontId="5" fillId="2" borderId="12" xfId="1" applyNumberFormat="1" applyFont="1" applyFill="1" applyBorder="1" applyAlignment="1">
      <alignment horizontal="right" vertical="center"/>
    </xf>
    <xf numFmtId="2" fontId="28" fillId="0" borderId="11" xfId="1" applyNumberFormat="1" applyFont="1" applyFill="1" applyBorder="1" applyAlignment="1">
      <alignment horizontal="center" vertical="center"/>
    </xf>
    <xf numFmtId="165" fontId="8" fillId="0" borderId="12" xfId="1" applyNumberFormat="1" applyFont="1" applyFill="1" applyBorder="1" applyAlignment="1">
      <alignment horizontal="right" vertical="center"/>
    </xf>
    <xf numFmtId="2" fontId="21" fillId="3" borderId="11" xfId="0" applyNumberFormat="1" applyFont="1" applyFill="1" applyBorder="1" applyAlignment="1">
      <alignment horizontal="center" vertical="center"/>
    </xf>
    <xf numFmtId="2" fontId="27" fillId="3" borderId="11" xfId="0" applyNumberFormat="1" applyFont="1" applyFill="1" applyBorder="1" applyAlignment="1">
      <alignment horizontal="center" vertical="center"/>
    </xf>
    <xf numFmtId="165" fontId="7" fillId="3" borderId="12" xfId="1" applyNumberFormat="1" applyFont="1" applyFill="1" applyBorder="1" applyAlignment="1">
      <alignment horizontal="right" vertical="center"/>
    </xf>
    <xf numFmtId="2" fontId="27" fillId="0" borderId="11" xfId="1" applyNumberFormat="1" applyFont="1" applyFill="1" applyBorder="1" applyAlignment="1">
      <alignment horizontal="center" vertical="center" wrapText="1"/>
    </xf>
    <xf numFmtId="2" fontId="28" fillId="0" borderId="11" xfId="1" applyNumberFormat="1" applyFont="1" applyFill="1" applyBorder="1" applyAlignment="1">
      <alignment horizontal="center" vertical="center" wrapText="1"/>
    </xf>
    <xf numFmtId="2" fontId="21" fillId="0" borderId="11" xfId="1" applyNumberFormat="1" applyFont="1" applyFill="1" applyBorder="1" applyAlignment="1">
      <alignment horizontal="center" vertical="center" wrapText="1"/>
    </xf>
    <xf numFmtId="2" fontId="26" fillId="2" borderId="11" xfId="1" applyNumberFormat="1" applyFont="1" applyFill="1" applyBorder="1" applyAlignment="1">
      <alignment horizontal="center" vertical="center" wrapText="1"/>
    </xf>
    <xf numFmtId="2" fontId="21" fillId="0" borderId="11" xfId="1" applyNumberFormat="1" applyFont="1" applyFill="1" applyBorder="1" applyAlignment="1">
      <alignment horizontal="center" vertical="center"/>
    </xf>
    <xf numFmtId="2" fontId="27" fillId="3" borderId="11" xfId="1" applyNumberFormat="1" applyFont="1" applyFill="1" applyBorder="1" applyAlignment="1">
      <alignment horizontal="center" vertical="center" wrapText="1"/>
    </xf>
    <xf numFmtId="2" fontId="28" fillId="3" borderId="11" xfId="1" applyNumberFormat="1" applyFont="1" applyFill="1" applyBorder="1" applyAlignment="1">
      <alignment horizontal="center" vertical="center" wrapText="1"/>
    </xf>
    <xf numFmtId="2" fontId="25" fillId="3" borderId="11" xfId="0" applyNumberFormat="1" applyFont="1" applyFill="1" applyBorder="1" applyAlignment="1">
      <alignment horizontal="center" vertical="center"/>
    </xf>
    <xf numFmtId="2" fontId="21" fillId="0" borderId="11" xfId="0" applyNumberFormat="1" applyFont="1" applyBorder="1" applyAlignment="1">
      <alignment horizontal="center" vertical="center"/>
    </xf>
    <xf numFmtId="43" fontId="5" fillId="2" borderId="1" xfId="0" applyNumberFormat="1" applyFont="1" applyFill="1" applyBorder="1" applyAlignment="1">
      <alignment horizontal="right" vertical="center"/>
    </xf>
    <xf numFmtId="168" fontId="5" fillId="2" borderId="1" xfId="3" applyNumberFormat="1" applyFont="1" applyFill="1" applyBorder="1" applyAlignment="1">
      <alignment horizontal="right" vertical="center"/>
    </xf>
    <xf numFmtId="165" fontId="20" fillId="3" borderId="1" xfId="1" applyNumberFormat="1" applyFont="1" applyFill="1" applyBorder="1" applyAlignment="1">
      <alignment horizontal="left" vertical="center" wrapText="1"/>
    </xf>
    <xf numFmtId="165" fontId="16" fillId="3" borderId="1" xfId="1" applyNumberFormat="1" applyFont="1" applyFill="1" applyBorder="1" applyAlignment="1">
      <alignment horizontal="center" vertical="center"/>
    </xf>
    <xf numFmtId="43" fontId="16" fillId="3" borderId="1" xfId="1" applyFont="1" applyFill="1" applyBorder="1" applyAlignment="1">
      <alignment horizontal="right" vertical="center"/>
    </xf>
    <xf numFmtId="165" fontId="16" fillId="3" borderId="1" xfId="1" applyNumberFormat="1" applyFont="1" applyFill="1" applyBorder="1" applyAlignment="1">
      <alignment horizontal="right" vertical="center"/>
    </xf>
    <xf numFmtId="165" fontId="16" fillId="3" borderId="12" xfId="1" applyNumberFormat="1" applyFont="1" applyFill="1" applyBorder="1" applyAlignment="1">
      <alignment horizontal="right" vertical="center"/>
    </xf>
    <xf numFmtId="165" fontId="16" fillId="3" borderId="1" xfId="1" applyNumberFormat="1" applyFont="1" applyFill="1" applyBorder="1" applyAlignment="1">
      <alignment horizontal="left" vertical="center" wrapText="1"/>
    </xf>
    <xf numFmtId="2" fontId="25" fillId="3" borderId="11" xfId="1" applyNumberFormat="1" applyFont="1" applyFill="1" applyBorder="1" applyAlignment="1">
      <alignment horizontal="center" vertical="center"/>
    </xf>
    <xf numFmtId="2" fontId="29" fillId="3" borderId="11" xfId="1" applyNumberFormat="1" applyFont="1" applyFill="1" applyBorder="1" applyAlignment="1">
      <alignment horizontal="center" vertical="center"/>
    </xf>
    <xf numFmtId="165" fontId="20" fillId="3" borderId="1" xfId="1" applyNumberFormat="1" applyFont="1" applyFill="1" applyBorder="1" applyAlignment="1">
      <alignment horizontal="center" vertical="center"/>
    </xf>
    <xf numFmtId="43" fontId="20" fillId="3" borderId="1" xfId="1" applyFont="1" applyFill="1" applyBorder="1" applyAlignment="1">
      <alignment horizontal="right" vertical="center"/>
    </xf>
    <xf numFmtId="165" fontId="20" fillId="3" borderId="1" xfId="1" applyNumberFormat="1" applyFont="1" applyFill="1" applyBorder="1" applyAlignment="1">
      <alignment horizontal="right" vertical="center"/>
    </xf>
    <xf numFmtId="2" fontId="30" fillId="3" borderId="11" xfId="1" applyNumberFormat="1" applyFont="1" applyFill="1" applyBorder="1" applyAlignment="1">
      <alignment horizontal="center" vertical="center"/>
    </xf>
    <xf numFmtId="2" fontId="27" fillId="0" borderId="11" xfId="0" applyNumberFormat="1" applyFont="1" applyBorder="1" applyAlignment="1">
      <alignment horizontal="center" vertical="center" wrapText="1"/>
    </xf>
    <xf numFmtId="2" fontId="28" fillId="0" borderId="11" xfId="0" applyNumberFormat="1" applyFont="1" applyBorder="1" applyAlignment="1">
      <alignment horizontal="center" vertical="center" wrapText="1"/>
    </xf>
    <xf numFmtId="2" fontId="26" fillId="0" borderId="11" xfId="0" applyNumberFormat="1" applyFont="1" applyBorder="1" applyAlignment="1">
      <alignment horizontal="center" vertical="center" wrapText="1"/>
    </xf>
    <xf numFmtId="2" fontId="21" fillId="0" borderId="11" xfId="0" applyNumberFormat="1" applyFont="1" applyBorder="1" applyAlignment="1">
      <alignment horizontal="center" vertical="center" wrapText="1"/>
    </xf>
    <xf numFmtId="2" fontId="26" fillId="2" borderId="11" xfId="1" applyNumberFormat="1" applyFont="1" applyFill="1" applyBorder="1" applyAlignment="1">
      <alignment horizontal="center" vertical="center"/>
    </xf>
    <xf numFmtId="2" fontId="27" fillId="3" borderId="11" xfId="1" applyNumberFormat="1" applyFont="1" applyFill="1" applyBorder="1" applyAlignment="1">
      <alignment horizontal="center" vertical="center"/>
    </xf>
    <xf numFmtId="2" fontId="26" fillId="0" borderId="11" xfId="1" applyNumberFormat="1" applyFont="1" applyFill="1" applyBorder="1" applyAlignment="1">
      <alignment horizontal="center" vertical="center" wrapText="1"/>
    </xf>
    <xf numFmtId="43" fontId="8" fillId="0" borderId="14" xfId="1" applyFont="1" applyFill="1" applyBorder="1" applyAlignment="1">
      <alignment horizontal="right" vertical="center"/>
    </xf>
    <xf numFmtId="165" fontId="8" fillId="0" borderId="14" xfId="1" applyNumberFormat="1" applyFont="1" applyFill="1" applyBorder="1" applyAlignment="1">
      <alignment horizontal="right" vertical="center"/>
    </xf>
    <xf numFmtId="165" fontId="8" fillId="0" borderId="15" xfId="1" applyNumberFormat="1" applyFont="1" applyFill="1" applyBorder="1" applyAlignment="1">
      <alignment horizontal="right" vertical="center"/>
    </xf>
    <xf numFmtId="2" fontId="5" fillId="2" borderId="11" xfId="0" applyNumberFormat="1" applyFont="1" applyFill="1" applyBorder="1" applyAlignment="1">
      <alignment horizontal="center" vertical="center"/>
    </xf>
    <xf numFmtId="2" fontId="17" fillId="0" borderId="11" xfId="1" applyNumberFormat="1" applyFont="1" applyFill="1" applyBorder="1" applyAlignment="1">
      <alignment horizontal="center" vertical="center"/>
    </xf>
    <xf numFmtId="2" fontId="17" fillId="0" borderId="11" xfId="0" applyNumberFormat="1" applyFont="1" applyBorder="1" applyAlignment="1">
      <alignment horizontal="center" vertical="center"/>
    </xf>
    <xf numFmtId="2" fontId="5" fillId="2" borderId="11" xfId="4" applyNumberFormat="1" applyFont="1" applyFill="1" applyBorder="1" applyAlignment="1">
      <alignment horizontal="center" vertical="center"/>
    </xf>
    <xf numFmtId="2" fontId="17" fillId="3" borderId="11" xfId="0" applyNumberFormat="1" applyFont="1" applyFill="1" applyBorder="1" applyAlignment="1">
      <alignment horizontal="center" vertical="center"/>
    </xf>
    <xf numFmtId="2" fontId="17" fillId="0" borderId="11" xfId="1" applyNumberFormat="1" applyFont="1" applyFill="1" applyBorder="1" applyAlignment="1">
      <alignment horizontal="center" vertical="center" wrapText="1"/>
    </xf>
    <xf numFmtId="2" fontId="5" fillId="2" borderId="11" xfId="1" applyNumberFormat="1" applyFont="1" applyFill="1" applyBorder="1" applyAlignment="1">
      <alignment horizontal="center" vertical="center" wrapText="1"/>
    </xf>
    <xf numFmtId="2" fontId="17" fillId="3" borderId="11" xfId="1" applyNumberFormat="1" applyFont="1" applyFill="1" applyBorder="1" applyAlignment="1">
      <alignment horizontal="center" vertical="center" wrapText="1"/>
    </xf>
    <xf numFmtId="2" fontId="21" fillId="3" borderId="11" xfId="1"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165" fontId="21" fillId="0" borderId="1" xfId="1" applyNumberFormat="1" applyFont="1" applyFill="1" applyBorder="1" applyAlignment="1">
      <alignment horizontal="center" vertical="center"/>
    </xf>
    <xf numFmtId="0" fontId="0" fillId="0" borderId="0" xfId="0" applyAlignment="1">
      <alignment horizontal="left"/>
    </xf>
    <xf numFmtId="165" fontId="9" fillId="0" borderId="1" xfId="1" applyNumberFormat="1" applyFont="1" applyFill="1" applyBorder="1" applyAlignment="1">
      <alignment vertical="center"/>
    </xf>
    <xf numFmtId="4" fontId="13" fillId="2" borderId="1" xfId="0" applyNumberFormat="1" applyFont="1" applyFill="1" applyBorder="1" applyAlignment="1">
      <alignment vertical="center"/>
    </xf>
    <xf numFmtId="165" fontId="9" fillId="0" borderId="1" xfId="1" applyNumberFormat="1" applyFont="1" applyFill="1" applyBorder="1" applyAlignment="1">
      <alignment horizontal="right" vertical="center"/>
    </xf>
    <xf numFmtId="4" fontId="13" fillId="2" borderId="1" xfId="0" applyNumberFormat="1" applyFont="1" applyFill="1" applyBorder="1" applyAlignment="1">
      <alignment horizontal="right" vertical="center"/>
    </xf>
    <xf numFmtId="43" fontId="15" fillId="0" borderId="1" xfId="0" applyNumberFormat="1" applyFont="1" applyBorder="1" applyAlignment="1">
      <alignment vertical="center"/>
    </xf>
    <xf numFmtId="43" fontId="5" fillId="2" borderId="1" xfId="1" applyFont="1" applyFill="1" applyBorder="1" applyAlignment="1">
      <alignment vertical="center"/>
    </xf>
    <xf numFmtId="43" fontId="8" fillId="0" borderId="1" xfId="0" applyNumberFormat="1" applyFont="1" applyBorder="1" applyAlignment="1">
      <alignment vertical="center"/>
    </xf>
    <xf numFmtId="43" fontId="14" fillId="3" borderId="1" xfId="1" applyFont="1" applyFill="1" applyBorder="1" applyAlignment="1">
      <alignment vertical="center"/>
    </xf>
    <xf numFmtId="43" fontId="8" fillId="3" borderId="1" xfId="1" applyFont="1" applyFill="1" applyBorder="1" applyAlignment="1">
      <alignment vertical="center"/>
    </xf>
    <xf numFmtId="165" fontId="14" fillId="0" borderId="1" xfId="1" applyNumberFormat="1" applyFont="1" applyFill="1" applyBorder="1" applyAlignment="1">
      <alignment vertical="center"/>
    </xf>
    <xf numFmtId="43" fontId="9" fillId="0" borderId="1" xfId="1" applyFont="1" applyFill="1" applyBorder="1" applyAlignment="1">
      <alignment vertical="center"/>
    </xf>
    <xf numFmtId="43" fontId="13" fillId="2" borderId="1" xfId="1" applyFont="1" applyFill="1" applyBorder="1" applyAlignment="1">
      <alignment vertical="center"/>
    </xf>
    <xf numFmtId="0" fontId="7" fillId="3" borderId="1" xfId="5" applyFont="1" applyFill="1" applyBorder="1" applyAlignment="1">
      <alignment vertical="center"/>
    </xf>
    <xf numFmtId="43" fontId="13" fillId="0" borderId="1" xfId="1" applyFont="1" applyFill="1" applyBorder="1" applyAlignment="1">
      <alignment vertical="center"/>
    </xf>
    <xf numFmtId="43" fontId="7" fillId="3" borderId="1" xfId="1" applyFont="1" applyFill="1" applyBorder="1" applyAlignment="1">
      <alignment vertical="center"/>
    </xf>
    <xf numFmtId="0" fontId="31" fillId="0" borderId="8" xfId="0" applyFont="1" applyBorder="1" applyAlignment="1">
      <alignment horizontal="center" vertical="center" wrapText="1"/>
    </xf>
    <xf numFmtId="0" fontId="34" fillId="0" borderId="0" xfId="0" applyFont="1" applyAlignment="1">
      <alignment horizontal="center" vertical="center"/>
    </xf>
    <xf numFmtId="2" fontId="21" fillId="0" borderId="8" xfId="0" applyNumberFormat="1" applyFont="1" applyBorder="1" applyAlignment="1">
      <alignment horizontal="center" vertical="center" wrapText="1"/>
    </xf>
    <xf numFmtId="2" fontId="17" fillId="0" borderId="1" xfId="0" applyNumberFormat="1" applyFont="1" applyBorder="1" applyAlignment="1">
      <alignment horizontal="center" vertical="center"/>
    </xf>
    <xf numFmtId="2" fontId="19" fillId="3" borderId="1" xfId="0" applyNumberFormat="1" applyFont="1" applyFill="1" applyBorder="1" applyAlignment="1">
      <alignment horizontal="center" vertical="center"/>
    </xf>
    <xf numFmtId="2" fontId="19" fillId="0" borderId="1" xfId="0" applyNumberFormat="1" applyFont="1" applyBorder="1" applyAlignment="1">
      <alignment horizontal="center" vertical="center"/>
    </xf>
    <xf numFmtId="2" fontId="18" fillId="0" borderId="0" xfId="0" applyNumberFormat="1" applyFont="1" applyAlignment="1">
      <alignment horizontal="center" vertical="center"/>
    </xf>
    <xf numFmtId="43" fontId="21" fillId="0" borderId="1" xfId="1" applyFont="1" applyFill="1" applyBorder="1" applyAlignment="1">
      <alignment vertical="center"/>
    </xf>
    <xf numFmtId="43" fontId="7" fillId="0" borderId="7" xfId="1" applyFont="1" applyFill="1" applyBorder="1" applyAlignment="1">
      <alignment horizontal="center" vertical="center"/>
    </xf>
    <xf numFmtId="2" fontId="19" fillId="3" borderId="11" xfId="0" applyNumberFormat="1" applyFont="1" applyFill="1" applyBorder="1" applyAlignment="1">
      <alignment horizontal="center" vertical="center"/>
    </xf>
    <xf numFmtId="43" fontId="5" fillId="2" borderId="1" xfId="0" applyNumberFormat="1" applyFont="1" applyFill="1" applyBorder="1" applyAlignment="1">
      <alignment vertical="center"/>
    </xf>
    <xf numFmtId="2" fontId="16" fillId="3" borderId="1" xfId="1" applyNumberFormat="1" applyFont="1" applyFill="1" applyBorder="1" applyAlignment="1">
      <alignment vertical="center"/>
    </xf>
    <xf numFmtId="2" fontId="19" fillId="3" borderId="11" xfId="1" applyNumberFormat="1" applyFont="1" applyFill="1" applyBorder="1" applyAlignment="1">
      <alignment horizontal="center" vertical="center"/>
    </xf>
    <xf numFmtId="2" fontId="17" fillId="0" borderId="11"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2" borderId="11" xfId="1" applyNumberFormat="1" applyFont="1" applyFill="1" applyBorder="1" applyAlignment="1">
      <alignment horizontal="center" vertical="center"/>
    </xf>
    <xf numFmtId="2" fontId="17" fillId="3" borderId="11" xfId="1" applyNumberFormat="1" applyFont="1" applyFill="1" applyBorder="1" applyAlignment="1">
      <alignment horizontal="center" vertical="center"/>
    </xf>
    <xf numFmtId="2" fontId="5" fillId="0" borderId="11" xfId="1" applyNumberFormat="1" applyFont="1" applyFill="1" applyBorder="1" applyAlignment="1">
      <alignment horizontal="center" vertical="center" wrapText="1"/>
    </xf>
    <xf numFmtId="165" fontId="8" fillId="0" borderId="14" xfId="1" applyNumberFormat="1" applyFont="1" applyFill="1" applyBorder="1" applyAlignment="1">
      <alignment horizontal="center" vertical="center"/>
    </xf>
    <xf numFmtId="2" fontId="20" fillId="3" borderId="1" xfId="1" applyNumberFormat="1" applyFont="1" applyFill="1" applyBorder="1" applyAlignment="1">
      <alignment vertical="center"/>
    </xf>
    <xf numFmtId="43" fontId="7" fillId="2" borderId="1" xfId="1" applyFont="1" applyFill="1" applyBorder="1" applyAlignment="1">
      <alignment vertical="center"/>
    </xf>
    <xf numFmtId="166" fontId="7" fillId="0" borderId="1" xfId="1" applyNumberFormat="1" applyFont="1" applyFill="1" applyBorder="1" applyAlignment="1">
      <alignment vertical="center"/>
    </xf>
    <xf numFmtId="166" fontId="7" fillId="3" borderId="1" xfId="1" applyNumberFormat="1" applyFont="1" applyFill="1" applyBorder="1" applyAlignment="1">
      <alignment vertical="center"/>
    </xf>
    <xf numFmtId="43" fontId="22" fillId="0" borderId="0" xfId="0" applyNumberFormat="1" applyFont="1" applyAlignment="1">
      <alignment horizontal="right" vertical="center"/>
    </xf>
    <xf numFmtId="0" fontId="7" fillId="0" borderId="1" xfId="0" applyFont="1" applyBorder="1" applyAlignment="1">
      <alignment horizontal="center" vertical="center" wrapText="1"/>
    </xf>
    <xf numFmtId="166" fontId="7" fillId="0" borderId="1" xfId="1" applyNumberFormat="1" applyFont="1" applyFill="1" applyBorder="1" applyAlignment="1">
      <alignment horizontal="right" vertical="center"/>
    </xf>
    <xf numFmtId="166" fontId="7" fillId="3" borderId="1" xfId="1" applyNumberFormat="1" applyFont="1" applyFill="1" applyBorder="1" applyAlignment="1">
      <alignment horizontal="right" vertical="center"/>
    </xf>
    <xf numFmtId="2" fontId="16" fillId="3" borderId="1" xfId="1" applyNumberFormat="1" applyFont="1" applyFill="1" applyBorder="1" applyAlignment="1">
      <alignment horizontal="right" vertical="center"/>
    </xf>
    <xf numFmtId="2" fontId="20" fillId="3" borderId="1" xfId="1" applyNumberFormat="1" applyFont="1" applyFill="1" applyBorder="1" applyAlignment="1">
      <alignment horizontal="right" vertical="center"/>
    </xf>
    <xf numFmtId="0" fontId="22" fillId="3" borderId="0" xfId="0" applyFont="1" applyFill="1" applyAlignment="1">
      <alignment horizontal="center" vertical="center"/>
    </xf>
    <xf numFmtId="167" fontId="5" fillId="2" borderId="1" xfId="0" applyNumberFormat="1" applyFont="1" applyFill="1" applyBorder="1" applyAlignment="1">
      <alignment horizontal="right" vertical="center"/>
    </xf>
    <xf numFmtId="0" fontId="7" fillId="3" borderId="1" xfId="5" applyFont="1" applyFill="1" applyBorder="1" applyAlignment="1">
      <alignment horizontal="left" vertical="top" wrapText="1"/>
    </xf>
    <xf numFmtId="0" fontId="7" fillId="3" borderId="1" xfId="5" applyFont="1" applyFill="1" applyBorder="1" applyAlignment="1">
      <alignment horizontal="center" vertical="top" wrapText="1"/>
    </xf>
    <xf numFmtId="43" fontId="7" fillId="3" borderId="1" xfId="5" applyNumberFormat="1" applyFont="1" applyFill="1" applyBorder="1" applyAlignment="1">
      <alignment horizontal="right" vertical="top" wrapText="1"/>
    </xf>
    <xf numFmtId="0" fontId="8" fillId="3" borderId="1" xfId="5" applyFont="1" applyFill="1" applyBorder="1" applyAlignment="1">
      <alignment horizontal="left" vertical="top" wrapText="1"/>
    </xf>
    <xf numFmtId="165" fontId="8" fillId="3" borderId="1" xfId="1" applyNumberFormat="1" applyFont="1" applyFill="1" applyBorder="1" applyAlignment="1">
      <alignment horizontal="right" vertical="center"/>
    </xf>
    <xf numFmtId="43" fontId="5" fillId="2" borderId="1" xfId="7" applyFont="1" applyFill="1" applyBorder="1" applyAlignment="1">
      <alignment horizontal="center" vertical="center" wrapText="1"/>
    </xf>
    <xf numFmtId="0" fontId="38" fillId="0" borderId="0" xfId="0" applyFont="1"/>
    <xf numFmtId="171" fontId="5" fillId="2" borderId="1" xfId="2" applyNumberFormat="1" applyFont="1" applyFill="1" applyBorder="1" applyAlignment="1">
      <alignment horizontal="left" vertical="center" wrapText="1"/>
    </xf>
    <xf numFmtId="170" fontId="5" fillId="2" borderId="1" xfId="1" applyNumberFormat="1" applyFont="1" applyFill="1" applyBorder="1" applyAlignment="1">
      <alignment vertical="center"/>
    </xf>
    <xf numFmtId="41" fontId="7" fillId="0" borderId="1" xfId="2" applyFont="1" applyFill="1" applyBorder="1" applyAlignment="1">
      <alignment vertical="center"/>
    </xf>
    <xf numFmtId="0" fontId="8" fillId="3" borderId="1" xfId="5" applyFont="1" applyFill="1" applyBorder="1" applyAlignment="1">
      <alignment horizontal="center" vertical="top" wrapText="1"/>
    </xf>
    <xf numFmtId="43" fontId="8" fillId="3" borderId="1" xfId="5" applyNumberFormat="1" applyFont="1" applyFill="1" applyBorder="1" applyAlignment="1">
      <alignment horizontal="right" vertical="top" wrapText="1"/>
    </xf>
    <xf numFmtId="0" fontId="7" fillId="0" borderId="1" xfId="0" applyFont="1" applyBorder="1" applyAlignment="1">
      <alignment horizontal="right" vertical="center" wrapText="1"/>
    </xf>
    <xf numFmtId="0" fontId="5" fillId="2" borderId="1" xfId="0" applyFont="1" applyFill="1" applyBorder="1" applyAlignment="1">
      <alignment horizontal="right" vertical="center" wrapText="1"/>
    </xf>
    <xf numFmtId="43" fontId="7" fillId="0" borderId="7" xfId="1" applyFont="1" applyFill="1" applyBorder="1" applyAlignment="1">
      <alignment vertical="center" wrapText="1"/>
    </xf>
    <xf numFmtId="0" fontId="5" fillId="2" borderId="1" xfId="0"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xf>
    <xf numFmtId="169" fontId="5" fillId="2" borderId="1" xfId="1" applyNumberFormat="1" applyFont="1" applyFill="1" applyBorder="1" applyAlignment="1">
      <alignment horizontal="right" vertical="center"/>
    </xf>
    <xf numFmtId="165" fontId="31" fillId="0" borderId="9" xfId="0" applyNumberFormat="1" applyFont="1" applyBorder="1" applyAlignment="1">
      <alignment horizontal="right" vertical="center" wrapText="1"/>
    </xf>
    <xf numFmtId="165" fontId="8" fillId="0" borderId="1" xfId="1" applyNumberFormat="1" applyFont="1" applyBorder="1" applyAlignment="1">
      <alignment horizontal="right" vertical="center"/>
    </xf>
    <xf numFmtId="165" fontId="7" fillId="0" borderId="1" xfId="1" applyNumberFormat="1" applyFont="1" applyBorder="1" applyAlignment="1">
      <alignment horizontal="right" vertical="center"/>
    </xf>
    <xf numFmtId="165" fontId="5" fillId="2" borderId="1" xfId="3" applyNumberFormat="1" applyFont="1" applyFill="1" applyBorder="1" applyAlignment="1">
      <alignment horizontal="right" vertical="center"/>
    </xf>
    <xf numFmtId="165" fontId="13" fillId="2" borderId="1" xfId="0" applyNumberFormat="1" applyFont="1" applyFill="1" applyBorder="1" applyAlignment="1">
      <alignment horizontal="right" vertical="center"/>
    </xf>
    <xf numFmtId="165" fontId="7" fillId="0" borderId="1" xfId="0" applyNumberFormat="1" applyFont="1" applyBorder="1" applyAlignment="1">
      <alignment horizontal="right" vertical="center"/>
    </xf>
    <xf numFmtId="165" fontId="21" fillId="0" borderId="1" xfId="1" applyNumberFormat="1" applyFont="1" applyFill="1" applyBorder="1" applyAlignment="1">
      <alignment horizontal="right" vertical="center"/>
    </xf>
    <xf numFmtId="165" fontId="0" fillId="0" borderId="0" xfId="0" applyNumberFormat="1" applyAlignment="1">
      <alignment horizontal="right" vertical="center"/>
    </xf>
    <xf numFmtId="165" fontId="5" fillId="2" borderId="1" xfId="2" applyNumberFormat="1" applyFont="1" applyFill="1" applyBorder="1" applyAlignment="1">
      <alignment horizontal="right" vertical="center" wrapText="1"/>
    </xf>
    <xf numFmtId="43" fontId="5" fillId="2" borderId="1" xfId="0" applyNumberFormat="1" applyFont="1" applyFill="1" applyBorder="1" applyAlignment="1">
      <alignment horizontal="right" vertical="center" wrapText="1"/>
    </xf>
    <xf numFmtId="165" fontId="31" fillId="0" borderId="10" xfId="0" applyNumberFormat="1" applyFont="1" applyBorder="1" applyAlignment="1">
      <alignment horizontal="right" vertical="center" wrapText="1"/>
    </xf>
    <xf numFmtId="165" fontId="8" fillId="0" borderId="12" xfId="1" applyNumberFormat="1" applyFont="1" applyBorder="1" applyAlignment="1">
      <alignment horizontal="right" vertical="center"/>
    </xf>
    <xf numFmtId="165" fontId="7" fillId="0" borderId="12" xfId="1" applyNumberFormat="1" applyFont="1" applyBorder="1" applyAlignment="1">
      <alignment horizontal="right" vertical="center"/>
    </xf>
    <xf numFmtId="165" fontId="7" fillId="0" borderId="12" xfId="1" applyNumberFormat="1" applyFont="1" applyFill="1" applyBorder="1" applyAlignment="1">
      <alignment horizontal="right" vertical="center" wrapText="1"/>
    </xf>
    <xf numFmtId="165" fontId="8" fillId="0" borderId="12" xfId="1" applyNumberFormat="1" applyFont="1" applyFill="1" applyBorder="1" applyAlignment="1">
      <alignment horizontal="right" vertical="center" wrapText="1"/>
    </xf>
    <xf numFmtId="165" fontId="13" fillId="2" borderId="12" xfId="1" applyNumberFormat="1" applyFont="1" applyFill="1" applyBorder="1" applyAlignment="1">
      <alignment horizontal="right" vertical="center" wrapText="1"/>
    </xf>
    <xf numFmtId="165" fontId="7" fillId="3" borderId="12" xfId="1" applyNumberFormat="1" applyFont="1" applyFill="1" applyBorder="1" applyAlignment="1">
      <alignment horizontal="right" vertical="center" wrapText="1"/>
    </xf>
    <xf numFmtId="165" fontId="8" fillId="3" borderId="12" xfId="1" applyNumberFormat="1" applyFont="1" applyFill="1" applyBorder="1" applyAlignment="1">
      <alignment horizontal="right" vertical="center" wrapText="1"/>
    </xf>
    <xf numFmtId="165" fontId="20" fillId="3" borderId="12" xfId="1" applyNumberFormat="1" applyFont="1" applyFill="1" applyBorder="1" applyAlignment="1">
      <alignment horizontal="right" vertical="center"/>
    </xf>
    <xf numFmtId="165" fontId="5" fillId="2" borderId="12" xfId="1" applyNumberFormat="1" applyFont="1" applyFill="1" applyBorder="1" applyAlignment="1">
      <alignment horizontal="right" vertical="center" wrapText="1"/>
    </xf>
    <xf numFmtId="165" fontId="21" fillId="0" borderId="12" xfId="1" applyNumberFormat="1" applyFont="1" applyFill="1" applyBorder="1" applyAlignment="1">
      <alignment horizontal="right" vertical="center" wrapText="1"/>
    </xf>
    <xf numFmtId="165" fontId="13" fillId="0" borderId="12" xfId="1" applyNumberFormat="1" applyFont="1" applyFill="1" applyBorder="1" applyAlignment="1">
      <alignment horizontal="right" vertical="center" wrapText="1"/>
    </xf>
    <xf numFmtId="43" fontId="7" fillId="0" borderId="1" xfId="0" applyNumberFormat="1" applyFont="1" applyBorder="1" applyAlignment="1">
      <alignment horizontal="right" vertical="center" wrapText="1"/>
    </xf>
    <xf numFmtId="165" fontId="31" fillId="0" borderId="9" xfId="0" applyNumberFormat="1" applyFont="1" applyBorder="1" applyAlignment="1">
      <alignment horizontal="center" vertical="center" wrapText="1"/>
    </xf>
    <xf numFmtId="165" fontId="5" fillId="2" borderId="1" xfId="2" applyNumberFormat="1" applyFont="1" applyFill="1" applyBorder="1" applyAlignment="1">
      <alignment horizontal="left" vertical="center" wrapText="1"/>
    </xf>
    <xf numFmtId="165" fontId="31" fillId="0" borderId="10" xfId="0" applyNumberFormat="1" applyFont="1" applyBorder="1" applyAlignment="1">
      <alignment horizontal="center" vertical="center" wrapText="1"/>
    </xf>
    <xf numFmtId="2" fontId="19" fillId="0" borderId="11" xfId="0" applyNumberFormat="1" applyFont="1" applyBorder="1" applyAlignment="1">
      <alignment horizontal="center" vertical="center"/>
    </xf>
    <xf numFmtId="165" fontId="5" fillId="2" borderId="12" xfId="1" applyNumberFormat="1" applyFont="1" applyFill="1" applyBorder="1" applyAlignment="1">
      <alignment vertical="center"/>
    </xf>
    <xf numFmtId="165" fontId="7" fillId="3" borderId="12" xfId="1" applyNumberFormat="1" applyFont="1" applyFill="1" applyBorder="1" applyAlignment="1">
      <alignment vertical="center"/>
    </xf>
    <xf numFmtId="2" fontId="7" fillId="0" borderId="1" xfId="1" applyNumberFormat="1" applyFont="1" applyFill="1" applyBorder="1" applyAlignment="1">
      <alignment horizontal="left" vertical="center"/>
    </xf>
    <xf numFmtId="2" fontId="18" fillId="0" borderId="11" xfId="0" applyNumberFormat="1" applyFont="1" applyBorder="1" applyAlignment="1">
      <alignment horizontal="center" vertical="center"/>
    </xf>
    <xf numFmtId="0" fontId="0" fillId="0" borderId="1" xfId="0" applyBorder="1" applyAlignment="1">
      <alignment horizontal="center" vertical="center"/>
    </xf>
    <xf numFmtId="43" fontId="0" fillId="0" borderId="1" xfId="0" applyNumberFormat="1" applyBorder="1" applyAlignment="1">
      <alignment horizontal="right" vertical="center"/>
    </xf>
    <xf numFmtId="165" fontId="0" fillId="0" borderId="1" xfId="0" applyNumberFormat="1" applyBorder="1" applyAlignment="1">
      <alignment horizontal="right" vertical="center"/>
    </xf>
    <xf numFmtId="165" fontId="0" fillId="0" borderId="12" xfId="0" applyNumberFormat="1" applyBorder="1" applyAlignment="1">
      <alignment horizontal="right" vertical="center"/>
    </xf>
    <xf numFmtId="165" fontId="5" fillId="2" borderId="12" xfId="0" applyNumberFormat="1" applyFont="1" applyFill="1" applyBorder="1" applyAlignment="1">
      <alignment horizontal="left" vertical="center" wrapText="1"/>
    </xf>
    <xf numFmtId="165" fontId="7" fillId="0" borderId="12" xfId="0" applyNumberFormat="1" applyFont="1" applyBorder="1" applyAlignment="1">
      <alignment horizontal="right" vertical="center" wrapText="1"/>
    </xf>
    <xf numFmtId="2" fontId="18" fillId="0" borderId="13" xfId="0" applyNumberFormat="1" applyFont="1" applyBorder="1" applyAlignment="1">
      <alignment horizontal="center" vertical="center"/>
    </xf>
    <xf numFmtId="165" fontId="8" fillId="0" borderId="14" xfId="1" applyNumberFormat="1" applyFont="1" applyFill="1" applyBorder="1" applyAlignment="1">
      <alignment horizontal="left" vertical="center" wrapText="1"/>
    </xf>
    <xf numFmtId="165" fontId="10" fillId="3" borderId="0" xfId="1" applyNumberFormat="1" applyFont="1" applyFill="1" applyAlignment="1">
      <alignment horizontal="center"/>
    </xf>
    <xf numFmtId="0" fontId="10" fillId="3" borderId="0" xfId="0" applyFont="1" applyFill="1" applyAlignment="1">
      <alignment horizontal="center"/>
    </xf>
    <xf numFmtId="2" fontId="30"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0" fontId="0" fillId="0" borderId="1" xfId="0" applyBorder="1" applyAlignment="1">
      <alignment horizontal="right" vertical="center"/>
    </xf>
    <xf numFmtId="165" fontId="5" fillId="2" borderId="12" xfId="0" applyNumberFormat="1" applyFont="1" applyFill="1" applyBorder="1" applyAlignment="1">
      <alignment horizontal="right" vertical="center" wrapText="1"/>
    </xf>
    <xf numFmtId="43" fontId="31" fillId="0" borderId="9" xfId="0" applyNumberFormat="1" applyFont="1" applyBorder="1" applyAlignment="1">
      <alignment horizontal="center" vertical="center"/>
    </xf>
    <xf numFmtId="2" fontId="33" fillId="0" borderId="0" xfId="0" applyNumberFormat="1" applyFont="1" applyAlignment="1">
      <alignment horizontal="center" vertical="center"/>
    </xf>
    <xf numFmtId="165" fontId="7" fillId="3" borderId="1" xfId="5" applyNumberFormat="1" applyFont="1" applyFill="1" applyBorder="1" applyAlignment="1">
      <alignment horizontal="right" vertical="top" wrapText="1"/>
    </xf>
    <xf numFmtId="165" fontId="7" fillId="3" borderId="1" xfId="1" applyNumberFormat="1" applyFont="1" applyFill="1" applyBorder="1" applyAlignment="1">
      <alignment horizontal="right" vertical="top" wrapText="1"/>
    </xf>
    <xf numFmtId="165" fontId="8" fillId="3" borderId="1" xfId="1" applyNumberFormat="1" applyFont="1" applyFill="1" applyBorder="1" applyAlignment="1">
      <alignment horizontal="right" vertical="top" wrapText="1"/>
    </xf>
    <xf numFmtId="165" fontId="0" fillId="0" borderId="0" xfId="0" applyNumberFormat="1"/>
    <xf numFmtId="165" fontId="7" fillId="0" borderId="1" xfId="1" applyNumberFormat="1" applyFont="1" applyFill="1" applyBorder="1" applyAlignment="1">
      <alignment horizontal="center" vertical="center" wrapText="1"/>
    </xf>
    <xf numFmtId="43" fontId="23" fillId="0" borderId="1" xfId="1" applyFont="1" applyFill="1" applyBorder="1" applyAlignment="1">
      <alignment horizontal="left" vertical="center" wrapText="1"/>
    </xf>
    <xf numFmtId="43" fontId="13" fillId="3" borderId="1" xfId="7" applyFont="1" applyFill="1" applyBorder="1" applyAlignment="1">
      <alignment horizontal="center" vertical="center"/>
    </xf>
    <xf numFmtId="43" fontId="7" fillId="3" borderId="1" xfId="7" applyFont="1" applyFill="1" applyBorder="1" applyAlignment="1">
      <alignment horizontal="center" vertical="center" wrapText="1"/>
    </xf>
    <xf numFmtId="165" fontId="7" fillId="0" borderId="1" xfId="0" applyNumberFormat="1" applyFont="1" applyBorder="1" applyAlignment="1">
      <alignment horizontal="right"/>
    </xf>
    <xf numFmtId="43" fontId="5" fillId="2" borderId="1" xfId="7" applyFont="1" applyFill="1" applyBorder="1" applyAlignment="1">
      <alignment horizontal="right" vertical="center"/>
    </xf>
    <xf numFmtId="43" fontId="13" fillId="3" borderId="1" xfId="7" applyFont="1" applyFill="1" applyBorder="1" applyAlignment="1">
      <alignment horizontal="right" vertical="center"/>
    </xf>
    <xf numFmtId="43" fontId="7" fillId="3" borderId="1" xfId="7" applyFont="1" applyFill="1" applyBorder="1" applyAlignment="1">
      <alignment horizontal="right" vertical="center"/>
    </xf>
    <xf numFmtId="165" fontId="7" fillId="0" borderId="1" xfId="0" applyNumberFormat="1" applyFont="1" applyBorder="1" applyAlignment="1">
      <alignment horizontal="center"/>
    </xf>
    <xf numFmtId="165" fontId="5" fillId="2" borderId="1" xfId="7" applyNumberFormat="1" applyFont="1" applyFill="1" applyBorder="1" applyAlignment="1">
      <alignment horizontal="right" vertical="center"/>
    </xf>
    <xf numFmtId="165" fontId="13" fillId="3" borderId="1" xfId="7" applyNumberFormat="1" applyFont="1" applyFill="1" applyBorder="1" applyAlignment="1">
      <alignment horizontal="right" vertical="center"/>
    </xf>
    <xf numFmtId="165" fontId="7" fillId="3" borderId="1" xfId="7" applyNumberFormat="1" applyFont="1" applyFill="1" applyBorder="1" applyAlignment="1">
      <alignment horizontal="right" vertical="center"/>
    </xf>
    <xf numFmtId="165" fontId="0" fillId="0" borderId="0" xfId="0" applyNumberFormat="1" applyAlignment="1">
      <alignment horizontal="right"/>
    </xf>
    <xf numFmtId="2" fontId="41" fillId="0" borderId="17" xfId="0" applyNumberFormat="1" applyFont="1" applyBorder="1" applyAlignment="1">
      <alignment horizontal="center" vertical="center"/>
    </xf>
    <xf numFmtId="165" fontId="41" fillId="0" borderId="19" xfId="0" applyNumberFormat="1" applyFont="1" applyBorder="1" applyAlignment="1">
      <alignment horizontal="right" vertical="center"/>
    </xf>
    <xf numFmtId="0" fontId="41" fillId="0" borderId="0" xfId="0" applyFont="1"/>
    <xf numFmtId="2" fontId="21" fillId="0" borderId="13" xfId="1" applyNumberFormat="1" applyFont="1" applyFill="1" applyBorder="1" applyAlignment="1">
      <alignment horizontal="center" vertical="center"/>
    </xf>
    <xf numFmtId="165" fontId="8" fillId="0" borderId="1" xfId="1" applyNumberFormat="1" applyFont="1" applyBorder="1" applyAlignment="1">
      <alignment horizontal="center"/>
    </xf>
    <xf numFmtId="165" fontId="13" fillId="2" borderId="1" xfId="0" applyNumberFormat="1" applyFont="1" applyFill="1" applyBorder="1" applyAlignment="1">
      <alignment vertical="center"/>
    </xf>
    <xf numFmtId="165" fontId="7" fillId="0" borderId="1" xfId="0" applyNumberFormat="1" applyFont="1" applyBorder="1" applyAlignment="1">
      <alignment vertical="center"/>
    </xf>
    <xf numFmtId="0" fontId="41" fillId="3" borderId="0" xfId="0" applyFont="1" applyFill="1"/>
    <xf numFmtId="2" fontId="41" fillId="3" borderId="17" xfId="0" applyNumberFormat="1" applyFont="1" applyFill="1" applyBorder="1" applyAlignment="1">
      <alignment horizontal="center" vertical="center"/>
    </xf>
    <xf numFmtId="165" fontId="41" fillId="3" borderId="19" xfId="0" applyNumberFormat="1" applyFont="1" applyFill="1" applyBorder="1" applyAlignment="1">
      <alignment horizontal="right" vertical="center"/>
    </xf>
    <xf numFmtId="43" fontId="0" fillId="0" borderId="0" xfId="0" applyNumberFormat="1" applyAlignment="1">
      <alignment horizontal="center" vertical="center"/>
    </xf>
    <xf numFmtId="165" fontId="7" fillId="0" borderId="12" xfId="1" applyNumberFormat="1" applyFont="1" applyFill="1" applyBorder="1" applyAlignment="1">
      <alignment vertical="center"/>
    </xf>
    <xf numFmtId="165" fontId="3" fillId="0" borderId="0" xfId="0" applyNumberFormat="1" applyFont="1" applyAlignment="1">
      <alignment horizontal="right"/>
    </xf>
    <xf numFmtId="165" fontId="7" fillId="0" borderId="1" xfId="1" applyNumberFormat="1" applyFont="1" applyBorder="1" applyAlignment="1">
      <alignment vertical="center" wrapText="1"/>
    </xf>
    <xf numFmtId="43" fontId="7" fillId="0" borderId="1" xfId="1" applyFont="1" applyBorder="1" applyAlignment="1">
      <alignment vertical="center" wrapText="1"/>
    </xf>
    <xf numFmtId="43" fontId="7" fillId="0" borderId="1" xfId="1" applyFont="1" applyBorder="1" applyAlignment="1">
      <alignment horizontal="center" vertical="center" wrapText="1"/>
    </xf>
    <xf numFmtId="41" fontId="7" fillId="0" borderId="1" xfId="2" applyFont="1" applyBorder="1" applyAlignment="1">
      <alignment vertical="center" wrapText="1"/>
    </xf>
    <xf numFmtId="43" fontId="7" fillId="0" borderId="1" xfId="1" applyFont="1" applyBorder="1" applyAlignment="1">
      <alignment horizontal="left" vertical="center" wrapText="1"/>
    </xf>
    <xf numFmtId="0" fontId="7" fillId="3" borderId="1" xfId="5" applyFont="1" applyFill="1" applyBorder="1" applyAlignment="1">
      <alignment vertical="center" wrapText="1"/>
    </xf>
    <xf numFmtId="0" fontId="7" fillId="3" borderId="1" xfId="5" applyFont="1" applyFill="1" applyBorder="1" applyAlignment="1">
      <alignment horizontal="center" vertical="center" wrapText="1"/>
    </xf>
    <xf numFmtId="43" fontId="7" fillId="3" borderId="1" xfId="8" applyFont="1" applyFill="1" applyBorder="1" applyAlignment="1">
      <alignment vertical="center" wrapText="1"/>
    </xf>
    <xf numFmtId="0" fontId="7" fillId="0" borderId="1" xfId="5" applyFont="1" applyBorder="1" applyAlignment="1">
      <alignment horizontal="center"/>
    </xf>
    <xf numFmtId="0" fontId="7" fillId="0" borderId="1" xfId="5" applyFont="1" applyBorder="1"/>
    <xf numFmtId="43" fontId="7" fillId="3" borderId="1" xfId="10" applyFont="1" applyFill="1" applyBorder="1" applyAlignment="1">
      <alignment vertical="center" wrapText="1"/>
    </xf>
    <xf numFmtId="43" fontId="7" fillId="3" borderId="1" xfId="10" applyFont="1" applyFill="1" applyBorder="1" applyAlignment="1">
      <alignment horizontal="center" vertical="center" wrapText="1"/>
    </xf>
    <xf numFmtId="43" fontId="7" fillId="3" borderId="1" xfId="10" applyFont="1" applyFill="1" applyBorder="1" applyAlignment="1">
      <alignment horizontal="right" vertical="center"/>
    </xf>
    <xf numFmtId="165" fontId="7" fillId="3" borderId="1" xfId="1" applyNumberFormat="1" applyFont="1" applyFill="1" applyBorder="1" applyAlignment="1">
      <alignment horizontal="right" vertical="center" wrapText="1"/>
    </xf>
    <xf numFmtId="0" fontId="40" fillId="0" borderId="0" xfId="0" applyFont="1"/>
    <xf numFmtId="0" fontId="7" fillId="0" borderId="20" xfId="0" applyFont="1" applyBorder="1" applyAlignment="1">
      <alignment horizontal="left" vertical="center" wrapText="1"/>
    </xf>
    <xf numFmtId="0" fontId="7" fillId="0" borderId="20" xfId="0" applyFont="1" applyBorder="1" applyAlignment="1">
      <alignment horizontal="center" vertical="center"/>
    </xf>
    <xf numFmtId="165" fontId="14" fillId="0" borderId="20" xfId="1" applyNumberFormat="1" applyFont="1" applyFill="1" applyBorder="1" applyAlignment="1">
      <alignment horizontal="center" vertical="center"/>
    </xf>
    <xf numFmtId="43" fontId="7" fillId="0" borderId="20" xfId="1" applyFont="1" applyFill="1" applyBorder="1" applyAlignment="1">
      <alignment horizontal="center" vertical="center"/>
    </xf>
    <xf numFmtId="165" fontId="7" fillId="0" borderId="16" xfId="1" applyNumberFormat="1" applyFont="1" applyFill="1" applyBorder="1" applyAlignment="1">
      <alignment vertical="center"/>
    </xf>
    <xf numFmtId="0" fontId="8" fillId="0" borderId="20" xfId="0" applyFont="1" applyBorder="1" applyAlignment="1">
      <alignment horizontal="left" vertical="center" wrapText="1"/>
    </xf>
    <xf numFmtId="0" fontId="8" fillId="0" borderId="20" xfId="0" applyFont="1" applyBorder="1" applyAlignment="1">
      <alignment horizontal="center" vertical="center"/>
    </xf>
    <xf numFmtId="165" fontId="15" fillId="0" borderId="20" xfId="1" applyNumberFormat="1" applyFont="1" applyFill="1" applyBorder="1" applyAlignment="1">
      <alignment horizontal="center" vertical="center"/>
    </xf>
    <xf numFmtId="43" fontId="8" fillId="0" borderId="20" xfId="1" applyFont="1" applyFill="1" applyBorder="1" applyAlignment="1">
      <alignment horizontal="center" vertical="center"/>
    </xf>
    <xf numFmtId="165" fontId="8" fillId="0" borderId="16" xfId="1" applyNumberFormat="1" applyFont="1" applyFill="1" applyBorder="1" applyAlignment="1">
      <alignment vertical="center"/>
    </xf>
    <xf numFmtId="0" fontId="36" fillId="0" borderId="0" xfId="0" applyFont="1" applyAlignment="1">
      <alignment vertical="center"/>
    </xf>
    <xf numFmtId="165" fontId="7" fillId="0" borderId="7" xfId="1" applyNumberFormat="1" applyFont="1" applyFill="1" applyBorder="1" applyAlignment="1">
      <alignment horizontal="center" vertical="center"/>
    </xf>
    <xf numFmtId="165" fontId="7" fillId="0" borderId="12" xfId="1" applyNumberFormat="1" applyFont="1" applyFill="1" applyBorder="1" applyAlignment="1">
      <alignment vertical="top"/>
    </xf>
    <xf numFmtId="165" fontId="7" fillId="0" borderId="1" xfId="1" applyNumberFormat="1" applyFont="1" applyBorder="1" applyAlignment="1">
      <alignment wrapText="1"/>
    </xf>
    <xf numFmtId="165" fontId="7" fillId="3" borderId="1" xfId="5" applyNumberFormat="1" applyFont="1" applyFill="1" applyBorder="1" applyAlignment="1">
      <alignment horizontal="center" wrapText="1"/>
    </xf>
    <xf numFmtId="165" fontId="7" fillId="3" borderId="1" xfId="10" applyNumberFormat="1" applyFont="1" applyFill="1" applyBorder="1" applyAlignment="1">
      <alignment horizontal="center"/>
    </xf>
    <xf numFmtId="0" fontId="34" fillId="0" borderId="5" xfId="0" applyFont="1" applyBorder="1" applyAlignment="1">
      <alignment horizontal="center"/>
    </xf>
    <xf numFmtId="0" fontId="0" fillId="0" borderId="1" xfId="0" applyBorder="1"/>
    <xf numFmtId="0" fontId="0" fillId="3" borderId="1" xfId="0" applyFill="1" applyBorder="1"/>
    <xf numFmtId="0" fontId="32" fillId="0" borderId="0" xfId="0" applyFont="1" applyAlignment="1">
      <alignment horizontal="left"/>
    </xf>
    <xf numFmtId="0" fontId="32" fillId="0" borderId="0" xfId="0" applyFont="1" applyAlignment="1">
      <alignment horizontal="center"/>
    </xf>
    <xf numFmtId="165" fontId="32" fillId="0" borderId="0" xfId="0" applyNumberFormat="1" applyFont="1" applyAlignment="1">
      <alignment horizontal="right"/>
    </xf>
    <xf numFmtId="43" fontId="8" fillId="0" borderId="1" xfId="11" applyFont="1" applyFill="1" applyBorder="1" applyAlignment="1">
      <alignment vertical="center" wrapText="1"/>
    </xf>
    <xf numFmtId="43" fontId="7" fillId="0" borderId="1" xfId="11" applyFont="1" applyFill="1" applyBorder="1" applyAlignment="1">
      <alignment vertical="center" wrapText="1"/>
    </xf>
    <xf numFmtId="43" fontId="8" fillId="0" borderId="1" xfId="11" applyFont="1" applyFill="1" applyBorder="1" applyAlignment="1">
      <alignment horizontal="center" vertical="center" wrapText="1"/>
    </xf>
    <xf numFmtId="43" fontId="7" fillId="0" borderId="1" xfId="11" applyFont="1" applyFill="1" applyBorder="1" applyAlignment="1">
      <alignment horizontal="center" vertical="center" wrapText="1"/>
    </xf>
    <xf numFmtId="43" fontId="5" fillId="2" borderId="1" xfId="11" applyFont="1" applyFill="1" applyBorder="1" applyAlignment="1">
      <alignment vertical="center" wrapText="1"/>
    </xf>
    <xf numFmtId="0" fontId="5" fillId="0" borderId="0" xfId="0" applyFont="1"/>
    <xf numFmtId="43" fontId="31" fillId="0" borderId="8" xfId="0" applyNumberFormat="1" applyFont="1" applyBorder="1" applyAlignment="1">
      <alignment horizontal="center" vertical="center" wrapText="1"/>
    </xf>
    <xf numFmtId="43" fontId="17" fillId="0" borderId="11" xfId="0" applyNumberFormat="1" applyFont="1" applyBorder="1" applyAlignment="1">
      <alignment horizontal="center" vertical="center"/>
    </xf>
    <xf numFmtId="43" fontId="17" fillId="0" borderId="11" xfId="1" applyFont="1" applyFill="1" applyBorder="1" applyAlignment="1">
      <alignment horizontal="center" vertical="center" wrapText="1"/>
    </xf>
    <xf numFmtId="43" fontId="5" fillId="2" borderId="11" xfId="0" applyNumberFormat="1" applyFont="1" applyFill="1" applyBorder="1" applyAlignment="1">
      <alignment horizontal="center" vertical="center"/>
    </xf>
    <xf numFmtId="43" fontId="17" fillId="0" borderId="11" xfId="1" applyFont="1" applyFill="1" applyBorder="1" applyAlignment="1">
      <alignment horizontal="center" vertical="center"/>
    </xf>
    <xf numFmtId="43" fontId="5" fillId="2" borderId="1" xfId="11" applyFont="1" applyFill="1" applyBorder="1" applyAlignment="1">
      <alignment horizontal="center" vertical="center"/>
    </xf>
    <xf numFmtId="43" fontId="17" fillId="2" borderId="1" xfId="11" applyFont="1" applyFill="1" applyBorder="1" applyAlignment="1">
      <alignment horizontal="right" vertical="center"/>
    </xf>
    <xf numFmtId="43" fontId="7" fillId="0" borderId="1" xfId="11" applyFont="1" applyFill="1" applyBorder="1" applyAlignment="1">
      <alignment horizontal="right" vertical="center"/>
    </xf>
    <xf numFmtId="43" fontId="8" fillId="0" borderId="1" xfId="11" applyFont="1" applyFill="1" applyBorder="1" applyAlignment="1">
      <alignment horizontal="right" vertical="center"/>
    </xf>
    <xf numFmtId="0" fontId="32" fillId="0" borderId="0" xfId="0" applyFont="1" applyAlignment="1">
      <alignment horizontal="right"/>
    </xf>
    <xf numFmtId="43" fontId="5" fillId="2" borderId="1" xfId="11" applyFont="1" applyFill="1" applyBorder="1" applyAlignment="1">
      <alignment horizontal="right" vertical="center"/>
    </xf>
    <xf numFmtId="165" fontId="5" fillId="2" borderId="1" xfId="11" applyNumberFormat="1" applyFont="1" applyFill="1" applyBorder="1" applyAlignment="1">
      <alignment horizontal="right" vertical="center"/>
    </xf>
    <xf numFmtId="165" fontId="7" fillId="0" borderId="1" xfId="11" applyNumberFormat="1" applyFont="1" applyFill="1" applyBorder="1" applyAlignment="1">
      <alignment horizontal="right" vertical="center"/>
    </xf>
    <xf numFmtId="165" fontId="8" fillId="0" borderId="1" xfId="11" applyNumberFormat="1" applyFont="1" applyFill="1" applyBorder="1" applyAlignment="1">
      <alignment horizontal="right" vertical="center"/>
    </xf>
    <xf numFmtId="165" fontId="7" fillId="0" borderId="1" xfId="7" applyNumberFormat="1" applyFont="1" applyBorder="1" applyAlignment="1">
      <alignment horizontal="right" vertical="center" wrapText="1"/>
    </xf>
    <xf numFmtId="43" fontId="30" fillId="0" borderId="11" xfId="0" applyNumberFormat="1" applyFont="1" applyBorder="1" applyAlignment="1">
      <alignment horizontal="center" vertical="center"/>
    </xf>
    <xf numFmtId="165" fontId="30" fillId="0" borderId="12" xfId="0" applyNumberFormat="1" applyFont="1" applyBorder="1" applyAlignment="1">
      <alignment horizontal="right"/>
    </xf>
    <xf numFmtId="43" fontId="5" fillId="2" borderId="11" xfId="11" applyFont="1" applyFill="1" applyBorder="1" applyAlignment="1">
      <alignment horizontal="center" vertical="center" wrapText="1"/>
    </xf>
    <xf numFmtId="165" fontId="5" fillId="2" borderId="12" xfId="11" applyNumberFormat="1" applyFont="1" applyFill="1" applyBorder="1" applyAlignment="1">
      <alignment horizontal="right" vertical="center" wrapText="1"/>
    </xf>
    <xf numFmtId="43" fontId="17" fillId="0" borderId="11" xfId="11" applyFont="1" applyFill="1" applyBorder="1" applyAlignment="1">
      <alignment horizontal="center" vertical="center" wrapText="1"/>
    </xf>
    <xf numFmtId="165" fontId="8" fillId="0" borderId="12" xfId="11" applyNumberFormat="1" applyFont="1" applyFill="1" applyBorder="1" applyAlignment="1">
      <alignment horizontal="right" vertical="center" wrapText="1"/>
    </xf>
    <xf numFmtId="165" fontId="7" fillId="0" borderId="12" xfId="11" applyNumberFormat="1" applyFont="1" applyFill="1" applyBorder="1" applyAlignment="1">
      <alignment horizontal="right" vertical="center" wrapText="1"/>
    </xf>
    <xf numFmtId="43" fontId="21" fillId="0" borderId="11" xfId="11" applyFont="1" applyFill="1" applyBorder="1" applyAlignment="1">
      <alignment horizontal="center" vertical="center" wrapText="1"/>
    </xf>
    <xf numFmtId="43" fontId="7" fillId="0" borderId="4" xfId="1" applyFont="1" applyFill="1" applyBorder="1" applyAlignment="1">
      <alignment vertical="center"/>
    </xf>
    <xf numFmtId="43" fontId="19" fillId="0" borderId="11" xfId="0" applyNumberFormat="1" applyFont="1" applyBorder="1" applyAlignment="1">
      <alignment horizontal="center" vertical="center"/>
    </xf>
    <xf numFmtId="43" fontId="5" fillId="2" borderId="11" xfId="5" applyNumberFormat="1" applyFont="1" applyFill="1" applyBorder="1" applyAlignment="1">
      <alignment horizontal="center" vertical="center" wrapText="1"/>
    </xf>
    <xf numFmtId="43" fontId="17" fillId="3" borderId="11" xfId="5" applyNumberFormat="1" applyFont="1" applyFill="1" applyBorder="1" applyAlignment="1">
      <alignment horizontal="center" vertical="center" wrapText="1"/>
    </xf>
    <xf numFmtId="165" fontId="7" fillId="3" borderId="12" xfId="5" applyNumberFormat="1" applyFont="1" applyFill="1" applyBorder="1" applyAlignment="1">
      <alignment horizontal="right" vertical="top" wrapText="1"/>
    </xf>
    <xf numFmtId="165" fontId="7" fillId="3" borderId="12" xfId="1" applyNumberFormat="1" applyFont="1" applyFill="1" applyBorder="1" applyAlignment="1">
      <alignment horizontal="right" vertical="top" wrapText="1"/>
    </xf>
    <xf numFmtId="165" fontId="8" fillId="3" borderId="12" xfId="1" applyNumberFormat="1" applyFont="1" applyFill="1" applyBorder="1" applyAlignment="1">
      <alignment horizontal="right" vertical="top" wrapText="1"/>
    </xf>
    <xf numFmtId="43" fontId="21" fillId="0" borderId="11" xfId="1" applyFont="1" applyFill="1" applyBorder="1" applyAlignment="1">
      <alignment horizontal="center" vertical="center" wrapText="1"/>
    </xf>
    <xf numFmtId="43" fontId="18" fillId="0" borderId="11" xfId="0" applyNumberFormat="1" applyFont="1" applyBorder="1" applyAlignment="1">
      <alignment horizontal="center" vertical="center"/>
    </xf>
    <xf numFmtId="43" fontId="33" fillId="0" borderId="11" xfId="0" applyNumberFormat="1" applyFont="1" applyBorder="1" applyAlignment="1">
      <alignment horizontal="center" vertical="center"/>
    </xf>
    <xf numFmtId="0" fontId="0" fillId="0" borderId="1" xfId="0" applyBorder="1" applyAlignment="1">
      <alignment horizontal="left" vertical="center"/>
    </xf>
    <xf numFmtId="43" fontId="39" fillId="3" borderId="11" xfId="4" applyNumberFormat="1" applyFont="1" applyFill="1" applyBorder="1" applyAlignment="1">
      <alignment horizontal="center" vertical="center"/>
    </xf>
    <xf numFmtId="43" fontId="5" fillId="2" borderId="11" xfId="7" applyFont="1" applyFill="1" applyBorder="1" applyAlignment="1">
      <alignment horizontal="center" vertical="center" wrapText="1"/>
    </xf>
    <xf numFmtId="165" fontId="5" fillId="2" borderId="12" xfId="7" applyNumberFormat="1" applyFont="1" applyFill="1" applyBorder="1" applyAlignment="1">
      <alignment horizontal="right" vertical="center" wrapText="1"/>
    </xf>
    <xf numFmtId="43" fontId="19" fillId="3" borderId="11" xfId="7" applyFont="1" applyFill="1" applyBorder="1" applyAlignment="1">
      <alignment horizontal="center" vertical="center" wrapText="1"/>
    </xf>
    <xf numFmtId="165" fontId="13" fillId="3" borderId="12" xfId="7" applyNumberFormat="1" applyFont="1" applyFill="1" applyBorder="1" applyAlignment="1">
      <alignment horizontal="right" vertical="center"/>
    </xf>
    <xf numFmtId="43" fontId="19" fillId="0" borderId="11" xfId="1" applyFont="1" applyFill="1" applyBorder="1" applyAlignment="1">
      <alignment horizontal="center" vertical="center" wrapText="1"/>
    </xf>
    <xf numFmtId="43" fontId="5" fillId="0" borderId="11" xfId="1" applyFont="1" applyFill="1" applyBorder="1" applyAlignment="1">
      <alignment horizontal="center" vertical="center" wrapText="1"/>
    </xf>
    <xf numFmtId="165" fontId="23" fillId="0" borderId="12" xfId="1" applyNumberFormat="1" applyFont="1" applyFill="1" applyBorder="1" applyAlignment="1">
      <alignment horizontal="right" vertical="center" wrapText="1"/>
    </xf>
    <xf numFmtId="43" fontId="17" fillId="3" borderId="11" xfId="7" applyFont="1" applyFill="1" applyBorder="1" applyAlignment="1">
      <alignment horizontal="center" vertical="center" wrapText="1"/>
    </xf>
    <xf numFmtId="165" fontId="8" fillId="3" borderId="12" xfId="7" applyNumberFormat="1" applyFont="1" applyFill="1" applyBorder="1" applyAlignment="1">
      <alignment horizontal="right" vertical="center" wrapText="1"/>
    </xf>
    <xf numFmtId="43" fontId="37" fillId="3" borderId="11" xfId="4" applyNumberFormat="1" applyFont="1" applyFill="1" applyBorder="1" applyAlignment="1">
      <alignment horizontal="center" vertical="center"/>
    </xf>
    <xf numFmtId="43" fontId="0" fillId="0" borderId="11" xfId="0" applyNumberFormat="1" applyBorder="1" applyAlignment="1">
      <alignment horizontal="center" vertical="center"/>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right"/>
    </xf>
    <xf numFmtId="165" fontId="0" fillId="0" borderId="1" xfId="0" applyNumberFormat="1" applyBorder="1" applyAlignment="1">
      <alignment horizontal="right"/>
    </xf>
    <xf numFmtId="165" fontId="0" fillId="0" borderId="12" xfId="0" applyNumberFormat="1" applyBorder="1" applyAlignment="1">
      <alignment horizontal="right"/>
    </xf>
    <xf numFmtId="165" fontId="16" fillId="0" borderId="1" xfId="7" applyNumberFormat="1" applyFont="1" applyBorder="1" applyAlignment="1">
      <alignment horizontal="right" vertical="center" wrapText="1"/>
    </xf>
    <xf numFmtId="43" fontId="0" fillId="0" borderId="13" xfId="0" applyNumberFormat="1" applyBorder="1" applyAlignment="1">
      <alignment horizontal="center" vertical="center"/>
    </xf>
    <xf numFmtId="43" fontId="8" fillId="0" borderId="14" xfId="11" applyFont="1" applyFill="1" applyBorder="1" applyAlignment="1">
      <alignment vertical="center" wrapText="1"/>
    </xf>
    <xf numFmtId="43" fontId="8" fillId="0" borderId="14" xfId="11" applyFont="1" applyFill="1" applyBorder="1" applyAlignment="1">
      <alignment horizontal="center" vertical="center" wrapText="1"/>
    </xf>
    <xf numFmtId="43" fontId="8" fillId="0" borderId="14" xfId="11" applyFont="1" applyFill="1" applyBorder="1" applyAlignment="1">
      <alignment horizontal="right" vertical="center"/>
    </xf>
    <xf numFmtId="165" fontId="8" fillId="0" borderId="14" xfId="11" applyNumberFormat="1" applyFont="1" applyFill="1" applyBorder="1" applyAlignment="1">
      <alignment horizontal="right" vertical="center"/>
    </xf>
    <xf numFmtId="165" fontId="8" fillId="0" borderId="15" xfId="11" applyNumberFormat="1" applyFont="1" applyFill="1" applyBorder="1" applyAlignment="1">
      <alignment horizontal="right" vertical="center" wrapText="1"/>
    </xf>
    <xf numFmtId="165" fontId="30" fillId="0" borderId="12" xfId="0" applyNumberFormat="1" applyFont="1" applyBorder="1" applyAlignment="1">
      <alignment vertical="center"/>
    </xf>
    <xf numFmtId="165" fontId="30" fillId="3" borderId="12" xfId="0" applyNumberFormat="1" applyFont="1" applyFill="1" applyBorder="1" applyAlignment="1">
      <alignment vertical="center" wrapText="1"/>
    </xf>
    <xf numFmtId="0" fontId="35" fillId="0" borderId="0" xfId="0" applyFont="1"/>
    <xf numFmtId="0" fontId="16" fillId="0" borderId="0" xfId="0" applyFont="1"/>
    <xf numFmtId="0" fontId="0" fillId="3" borderId="4" xfId="0" applyFill="1" applyBorder="1"/>
    <xf numFmtId="0" fontId="16" fillId="0" borderId="1" xfId="0" applyFont="1" applyBorder="1"/>
    <xf numFmtId="165" fontId="16" fillId="0" borderId="1" xfId="0" applyNumberFormat="1" applyFont="1" applyBorder="1"/>
    <xf numFmtId="0" fontId="43" fillId="2" borderId="6" xfId="0" applyFont="1" applyFill="1" applyBorder="1"/>
    <xf numFmtId="0" fontId="44" fillId="0" borderId="6" xfId="0" applyFont="1" applyBorder="1"/>
    <xf numFmtId="165" fontId="44" fillId="0" borderId="6" xfId="1" applyNumberFormat="1" applyFont="1" applyBorder="1"/>
    <xf numFmtId="0" fontId="43" fillId="0" borderId="6" xfId="0" applyFont="1" applyBorder="1"/>
    <xf numFmtId="165" fontId="43" fillId="0" borderId="6" xfId="1" applyNumberFormat="1" applyFont="1" applyBorder="1"/>
    <xf numFmtId="16" fontId="0" fillId="0" borderId="0" xfId="0" applyNumberFormat="1"/>
    <xf numFmtId="165" fontId="5" fillId="3" borderId="1" xfId="1" applyNumberFormat="1" applyFont="1" applyFill="1" applyBorder="1" applyAlignment="1">
      <alignment horizontal="right" vertical="center"/>
    </xf>
    <xf numFmtId="165" fontId="24" fillId="0" borderId="0" xfId="0" applyNumberFormat="1" applyFont="1"/>
    <xf numFmtId="43" fontId="0" fillId="0" borderId="0" xfId="1" applyFont="1"/>
    <xf numFmtId="165" fontId="0" fillId="3" borderId="0" xfId="0" applyNumberFormat="1" applyFill="1"/>
    <xf numFmtId="165" fontId="3" fillId="0" borderId="0" xfId="0" applyNumberFormat="1" applyFont="1"/>
    <xf numFmtId="0" fontId="44" fillId="0" borderId="6" xfId="0" applyFont="1" applyBorder="1" applyAlignment="1">
      <alignment wrapText="1"/>
    </xf>
    <xf numFmtId="0" fontId="21" fillId="0" borderId="1" xfId="0" applyFont="1" applyBorder="1" applyAlignment="1">
      <alignment horizontal="left" vertical="center" wrapText="1"/>
    </xf>
    <xf numFmtId="0" fontId="21" fillId="0" borderId="12" xfId="0" applyFont="1" applyBorder="1" applyAlignment="1">
      <alignment horizontal="left" vertical="center" wrapText="1"/>
    </xf>
    <xf numFmtId="0" fontId="41" fillId="0" borderId="18" xfId="0" applyFont="1" applyBorder="1" applyAlignment="1">
      <alignment horizontal="left" vertical="center"/>
    </xf>
    <xf numFmtId="0" fontId="30" fillId="0" borderId="1" xfId="0" applyFont="1" applyBorder="1" applyAlignment="1">
      <alignment horizontal="left"/>
    </xf>
    <xf numFmtId="0" fontId="30" fillId="0" borderId="12" xfId="0" applyFont="1" applyBorder="1" applyAlignment="1">
      <alignment horizontal="left"/>
    </xf>
    <xf numFmtId="0" fontId="21" fillId="3" borderId="1" xfId="0" applyFont="1" applyFill="1" applyBorder="1" applyAlignment="1">
      <alignment horizontal="left" vertical="center" wrapText="1"/>
    </xf>
    <xf numFmtId="0" fontId="21" fillId="3" borderId="12" xfId="0" applyFont="1" applyFill="1" applyBorder="1" applyAlignment="1">
      <alignment horizontal="left" vertical="center" wrapText="1"/>
    </xf>
    <xf numFmtId="165" fontId="21" fillId="3" borderId="1" xfId="1" applyNumberFormat="1" applyFont="1" applyFill="1" applyBorder="1" applyAlignment="1">
      <alignment horizontal="left" vertical="center" wrapText="1"/>
    </xf>
    <xf numFmtId="165" fontId="21" fillId="3" borderId="12" xfId="1" applyNumberFormat="1" applyFont="1" applyFill="1" applyBorder="1" applyAlignment="1">
      <alignment horizontal="left" vertical="center" wrapText="1"/>
    </xf>
    <xf numFmtId="43" fontId="21" fillId="0" borderId="1" xfId="1" applyFont="1" applyFill="1" applyBorder="1" applyAlignment="1">
      <alignment horizontal="left" vertical="center" wrapText="1"/>
    </xf>
    <xf numFmtId="43" fontId="21" fillId="0" borderId="12" xfId="1" applyFont="1" applyFill="1" applyBorder="1" applyAlignment="1">
      <alignment horizontal="left" vertical="center" wrapText="1"/>
    </xf>
    <xf numFmtId="165" fontId="21" fillId="0" borderId="1" xfId="1" applyNumberFormat="1" applyFont="1" applyFill="1" applyBorder="1" applyAlignment="1">
      <alignment horizontal="left" vertical="center" wrapText="1"/>
    </xf>
    <xf numFmtId="165" fontId="21" fillId="0" borderId="12" xfId="1" applyNumberFormat="1" applyFont="1" applyFill="1" applyBorder="1" applyAlignment="1">
      <alignment horizontal="left" vertical="center" wrapText="1"/>
    </xf>
    <xf numFmtId="43" fontId="21" fillId="3" borderId="1" xfId="1" applyFont="1" applyFill="1" applyBorder="1" applyAlignment="1">
      <alignment horizontal="left" vertical="center" wrapText="1"/>
    </xf>
    <xf numFmtId="43" fontId="21" fillId="3" borderId="12" xfId="1" applyFont="1" applyFill="1" applyBorder="1" applyAlignment="1">
      <alignment horizontal="left" vertical="center" wrapText="1"/>
    </xf>
    <xf numFmtId="0" fontId="41" fillId="3" borderId="18" xfId="0" applyFont="1" applyFill="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0" borderId="2" xfId="0" applyFont="1" applyBorder="1" applyAlignment="1">
      <alignment horizontal="left"/>
    </xf>
    <xf numFmtId="0" fontId="30" fillId="0" borderId="3" xfId="0" applyFont="1" applyBorder="1" applyAlignment="1">
      <alignment horizontal="left"/>
    </xf>
    <xf numFmtId="0" fontId="30" fillId="0" borderId="4" xfId="0" applyFont="1" applyBorder="1" applyAlignment="1">
      <alignment horizontal="left"/>
    </xf>
    <xf numFmtId="0" fontId="34" fillId="0" borderId="1" xfId="0" applyFont="1" applyBorder="1" applyAlignment="1">
      <alignment horizontal="center" vertical="center"/>
    </xf>
    <xf numFmtId="0" fontId="34" fillId="0" borderId="12" xfId="0" applyFont="1" applyBorder="1" applyAlignment="1">
      <alignment horizontal="center" vertical="center"/>
    </xf>
    <xf numFmtId="165" fontId="31" fillId="0" borderId="1" xfId="1" applyNumberFormat="1" applyFont="1" applyFill="1" applyBorder="1" applyAlignment="1">
      <alignment horizontal="center" vertical="center"/>
    </xf>
    <xf numFmtId="165" fontId="31" fillId="0" borderId="12" xfId="1" applyNumberFormat="1" applyFont="1" applyFill="1" applyBorder="1" applyAlignment="1">
      <alignment horizontal="center" vertical="center"/>
    </xf>
    <xf numFmtId="0" fontId="40" fillId="0" borderId="5" xfId="0" applyFont="1" applyBorder="1" applyAlignment="1">
      <alignment horizontal="center"/>
    </xf>
    <xf numFmtId="165" fontId="5" fillId="4" borderId="12" xfId="1" applyNumberFormat="1" applyFont="1" applyFill="1" applyBorder="1" applyAlignment="1">
      <alignment horizontal="right" vertical="center" wrapText="1"/>
    </xf>
  </cellXfs>
  <cellStyles count="12">
    <cellStyle name="Comma" xfId="1" builtinId="3"/>
    <cellStyle name="Comma [0]" xfId="2" builtinId="6"/>
    <cellStyle name="Comma 14" xfId="11" xr:uid="{00000000-0005-0000-0000-000002000000}"/>
    <cellStyle name="Comma 14 2" xfId="10" xr:uid="{00000000-0005-0000-0000-000003000000}"/>
    <cellStyle name="Comma 17" xfId="7" xr:uid="{00000000-0005-0000-0000-000004000000}"/>
    <cellStyle name="Comma 17 3" xfId="9" xr:uid="{00000000-0005-0000-0000-000005000000}"/>
    <cellStyle name="Comma 5" xfId="8" xr:uid="{00000000-0005-0000-0000-000006000000}"/>
    <cellStyle name="Currency" xfId="3" builtinId="4"/>
    <cellStyle name="Normal" xfId="0" builtinId="0"/>
    <cellStyle name="Normal 12 2" xfId="6" xr:uid="{00000000-0005-0000-0000-000009000000}"/>
    <cellStyle name="Normal 2 12 3" xfId="5" xr:uid="{00000000-0005-0000-0000-00000A000000}"/>
    <cellStyle name="Normal 2 2 3"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Desktop/PROJECTS/HORIZON%20CONSTRUCTION/New%20Bugesera%20International%20(NBIA),%20Rwanda%20Construction%20of%20Works/Finishes%20breakwo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m thick plaster"/>
      <sheetName val="Emulsion Paint"/>
      <sheetName val="40mm Screed (2)"/>
      <sheetName val="Carpet ( to the conference)"/>
      <sheetName val="Gypsum Ceiling"/>
      <sheetName val="18mm MDF Cladding "/>
      <sheetName val="12mmGypsum Partitioning(Double)"/>
    </sheetNames>
    <sheetDataSet>
      <sheetData sheetId="0" refreshError="1"/>
      <sheetData sheetId="1" refreshError="1">
        <row r="11">
          <cell r="G11">
            <v>20</v>
          </cell>
        </row>
        <row r="19">
          <cell r="B19" t="str">
            <v>Induit/undercoat ( 2 coats)</v>
          </cell>
        </row>
        <row r="20">
          <cell r="B20" t="str">
            <v>Whiting/stucco ( 2 coats)</v>
          </cell>
        </row>
        <row r="21">
          <cell r="B21" t="str">
            <v>Colle</v>
          </cell>
        </row>
        <row r="22">
          <cell r="B22" t="str">
            <v>Emulsion paint ( 3 coats)</v>
          </cell>
        </row>
        <row r="23">
          <cell r="B23" t="str">
            <v>Brush</v>
          </cell>
        </row>
        <row r="24">
          <cell r="B24" t="str">
            <v>Roller</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workbookViewId="0">
      <selection activeCell="C5" sqref="C5"/>
    </sheetView>
  </sheetViews>
  <sheetFormatPr defaultColWidth="8.85546875" defaultRowHeight="15"/>
  <cols>
    <col min="2" max="2" width="34.42578125" customWidth="1"/>
    <col min="3" max="3" width="27.42578125" customWidth="1"/>
  </cols>
  <sheetData>
    <row r="1" spans="1:3" s="63" customFormat="1" ht="29.25">
      <c r="A1" s="459"/>
      <c r="B1" s="459" t="s">
        <v>218</v>
      </c>
      <c r="C1" s="459" t="s">
        <v>229</v>
      </c>
    </row>
    <row r="2" spans="1:3" ht="29.25">
      <c r="A2" s="460">
        <v>1</v>
      </c>
      <c r="B2" s="460" t="s">
        <v>220</v>
      </c>
      <c r="C2" s="461">
        <f>'ECD Classes'!F335</f>
        <v>12511072.992884308</v>
      </c>
    </row>
    <row r="3" spans="1:3" ht="29.25">
      <c r="A3" s="460">
        <v>2</v>
      </c>
      <c r="B3" s="460" t="s">
        <v>221</v>
      </c>
      <c r="C3" s="461">
        <f>'Office space'!F326</f>
        <v>4831034.4065285083</v>
      </c>
    </row>
    <row r="4" spans="1:3" ht="29.25">
      <c r="A4" s="460">
        <v>3</v>
      </c>
      <c r="B4" s="460" t="s">
        <v>222</v>
      </c>
      <c r="C4" s="461">
        <f>'Sleeping Area'!F326</f>
        <v>9348512.6129950266</v>
      </c>
    </row>
    <row r="5" spans="1:3" ht="29.25">
      <c r="A5" s="460">
        <v>4</v>
      </c>
      <c r="B5" s="460" t="s">
        <v>223</v>
      </c>
      <c r="C5" s="461">
        <f>'Dining Area'!F335</f>
        <v>6864594.9894250212</v>
      </c>
    </row>
    <row r="6" spans="1:3" ht="29.25">
      <c r="A6" s="460">
        <v>5</v>
      </c>
      <c r="B6" s="460" t="s">
        <v>224</v>
      </c>
      <c r="C6" s="461">
        <f>'Toilet &amp; Bathroom'!F351</f>
        <v>5186902.4611465493</v>
      </c>
    </row>
    <row r="7" spans="1:3" ht="29.25">
      <c r="A7" s="460">
        <v>6</v>
      </c>
      <c r="B7" s="460" t="s">
        <v>225</v>
      </c>
      <c r="C7" s="461">
        <f>'Stock &amp; Kitchen'!F328</f>
        <v>5413231.6281197732</v>
      </c>
    </row>
    <row r="8" spans="1:3" ht="62.45" customHeight="1">
      <c r="A8" s="460">
        <v>7</v>
      </c>
      <c r="B8" s="470" t="s">
        <v>231</v>
      </c>
      <c r="C8" s="461">
        <f>'Roofing&amp; Ceiling&amp;Paver'!F2</f>
        <v>8519401.2527777776</v>
      </c>
    </row>
    <row r="9" spans="1:3" ht="29.25">
      <c r="A9" s="460">
        <v>9</v>
      </c>
      <c r="B9" s="460" t="s">
        <v>227</v>
      </c>
      <c r="C9" s="461">
        <v>2800000</v>
      </c>
    </row>
    <row r="10" spans="1:3" ht="29.25">
      <c r="A10" s="460">
        <v>10</v>
      </c>
      <c r="B10" s="460" t="s">
        <v>228</v>
      </c>
      <c r="C10" s="461">
        <v>2500000</v>
      </c>
    </row>
    <row r="11" spans="1:3" ht="29.25">
      <c r="A11" s="460">
        <v>11</v>
      </c>
      <c r="B11" s="460" t="s">
        <v>230</v>
      </c>
      <c r="C11" s="461">
        <f>SUM(C2:C10)*0.15</f>
        <v>8696212.5515815448</v>
      </c>
    </row>
    <row r="12" spans="1:3" s="454" customFormat="1" ht="31.5">
      <c r="A12" s="462"/>
      <c r="B12" s="462" t="s">
        <v>219</v>
      </c>
      <c r="C12" s="463">
        <f>SUM(C2:C11)</f>
        <v>66670962.895458512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6"/>
  <sheetViews>
    <sheetView topLeftCell="A327" zoomScale="103" workbookViewId="0">
      <selection activeCell="B335" sqref="B335:E335"/>
    </sheetView>
  </sheetViews>
  <sheetFormatPr defaultColWidth="8.85546875" defaultRowHeight="15.75"/>
  <cols>
    <col min="1" max="1" width="8.85546875" style="230"/>
    <col min="2" max="2" width="76" style="106" customWidth="1"/>
    <col min="3" max="3" width="12.85546875" style="108" customWidth="1"/>
    <col min="4" max="4" width="16.85546875" style="143" customWidth="1"/>
    <col min="5" max="5" width="18.85546875" style="281" customWidth="1"/>
    <col min="6" max="6" width="33.42578125" style="281" customWidth="1"/>
    <col min="7" max="7" width="11.85546875" customWidth="1"/>
  </cols>
  <sheetData>
    <row r="1" spans="1:6" s="253" customFormat="1" ht="36.75" customHeight="1">
      <c r="A1" s="226"/>
      <c r="B1" s="148" t="s">
        <v>120</v>
      </c>
      <c r="C1" s="148" t="s">
        <v>121</v>
      </c>
      <c r="D1" s="148" t="s">
        <v>122</v>
      </c>
      <c r="E1" s="274" t="s">
        <v>123</v>
      </c>
      <c r="F1" s="284" t="s">
        <v>124</v>
      </c>
    </row>
    <row r="2" spans="1:6" ht="21.75" customHeight="1">
      <c r="A2" s="149">
        <v>1</v>
      </c>
      <c r="B2" s="474" t="s">
        <v>93</v>
      </c>
      <c r="C2" s="474"/>
      <c r="D2" s="474"/>
      <c r="E2" s="474"/>
      <c r="F2" s="475"/>
    </row>
    <row r="3" spans="1:6" ht="19.5" customHeight="1">
      <c r="A3" s="197">
        <v>1.01</v>
      </c>
      <c r="B3" s="16" t="s">
        <v>94</v>
      </c>
      <c r="C3" s="35" t="s">
        <v>28</v>
      </c>
      <c r="D3" s="123">
        <f>44*0.8*0.4</f>
        <v>14.080000000000002</v>
      </c>
      <c r="E3" s="136">
        <v>2300</v>
      </c>
      <c r="F3" s="151">
        <f>E3*D3</f>
        <v>32384.000000000004</v>
      </c>
    </row>
    <row r="4" spans="1:6" ht="19.5" customHeight="1">
      <c r="A4" s="198"/>
      <c r="B4" s="8" t="s">
        <v>6</v>
      </c>
      <c r="C4" s="9"/>
      <c r="D4" s="112"/>
      <c r="E4" s="131"/>
      <c r="F4" s="153"/>
    </row>
    <row r="5" spans="1:6" ht="19.5" customHeight="1">
      <c r="A5" s="198"/>
      <c r="B5" s="13" t="s">
        <v>7</v>
      </c>
      <c r="C5" s="9" t="s">
        <v>8</v>
      </c>
      <c r="D5" s="116">
        <f>D3/0.9</f>
        <v>15.644444444444446</v>
      </c>
      <c r="E5" s="131">
        <f>F3/D5</f>
        <v>2070</v>
      </c>
      <c r="F5" s="153">
        <f>E5*D5</f>
        <v>32384.000000000004</v>
      </c>
    </row>
    <row r="6" spans="1:6" ht="19.5" customHeight="1">
      <c r="A6" s="172"/>
      <c r="B6" s="60" t="s">
        <v>9</v>
      </c>
      <c r="C6" s="61"/>
      <c r="D6" s="118"/>
      <c r="E6" s="275"/>
      <c r="F6" s="285"/>
    </row>
    <row r="7" spans="1:6" ht="19.5" customHeight="1">
      <c r="A7" s="197">
        <v>1.03</v>
      </c>
      <c r="B7" s="16" t="s">
        <v>114</v>
      </c>
      <c r="C7" s="35" t="s">
        <v>28</v>
      </c>
      <c r="D7" s="123">
        <f>(0.75*0.75*1.25)*10</f>
        <v>7.03125</v>
      </c>
      <c r="E7" s="136">
        <f>F11/D7</f>
        <v>1500</v>
      </c>
      <c r="F7" s="151">
        <f>E7*D7</f>
        <v>10546.875</v>
      </c>
    </row>
    <row r="8" spans="1:6" ht="19.5" customHeight="1">
      <c r="A8" s="198"/>
      <c r="B8" s="8" t="s">
        <v>6</v>
      </c>
      <c r="C8" s="9"/>
      <c r="D8" s="116"/>
      <c r="E8" s="131"/>
      <c r="F8" s="153"/>
    </row>
    <row r="9" spans="1:6" ht="19.5" customHeight="1">
      <c r="A9" s="198"/>
      <c r="B9" s="13" t="s">
        <v>92</v>
      </c>
      <c r="C9" s="9" t="s">
        <v>8</v>
      </c>
      <c r="D9" s="116">
        <f>D10/10</f>
        <v>0.78125</v>
      </c>
      <c r="E9" s="131">
        <v>1500</v>
      </c>
      <c r="F9" s="153">
        <f>E9*D9</f>
        <v>1171.875</v>
      </c>
    </row>
    <row r="10" spans="1:6" ht="19.5" customHeight="1">
      <c r="A10" s="198"/>
      <c r="B10" s="13" t="s">
        <v>7</v>
      </c>
      <c r="C10" s="9" t="s">
        <v>8</v>
      </c>
      <c r="D10" s="116">
        <f>D7/0.9</f>
        <v>7.8125</v>
      </c>
      <c r="E10" s="131">
        <v>1200</v>
      </c>
      <c r="F10" s="153">
        <f>E10*D10</f>
        <v>9375</v>
      </c>
    </row>
    <row r="11" spans="1:6" s="54" customFormat="1" ht="19.5" customHeight="1">
      <c r="A11" s="172"/>
      <c r="B11" s="60" t="s">
        <v>9</v>
      </c>
      <c r="C11" s="61"/>
      <c r="D11" s="113"/>
      <c r="E11" s="275"/>
      <c r="F11" s="285">
        <f>SUM(F9:F10)</f>
        <v>10546.875</v>
      </c>
    </row>
    <row r="12" spans="1:6" ht="19.5" customHeight="1">
      <c r="A12" s="199"/>
      <c r="B12" s="60"/>
      <c r="C12" s="44"/>
      <c r="D12" s="114"/>
      <c r="E12" s="276"/>
      <c r="F12" s="286"/>
    </row>
    <row r="13" spans="1:6" ht="38.450000000000003" customHeight="1">
      <c r="A13" s="156">
        <v>2</v>
      </c>
      <c r="B13" s="476" t="s">
        <v>0</v>
      </c>
      <c r="C13" s="476"/>
      <c r="D13" s="476"/>
      <c r="E13" s="476"/>
      <c r="F13" s="477"/>
    </row>
    <row r="14" spans="1:6" ht="19.5" customHeight="1">
      <c r="A14" s="200">
        <v>2.0099999999999998</v>
      </c>
      <c r="B14" s="2" t="s">
        <v>71</v>
      </c>
      <c r="C14" s="3" t="s">
        <v>1</v>
      </c>
      <c r="D14" s="115">
        <f>44*0.4</f>
        <v>17.600000000000001</v>
      </c>
      <c r="E14" s="132">
        <f>20973/D14</f>
        <v>1191.6477272727273</v>
      </c>
      <c r="F14" s="158">
        <f>E14*D14</f>
        <v>20973</v>
      </c>
    </row>
    <row r="15" spans="1:6" ht="19.5" customHeight="1">
      <c r="A15" s="198"/>
      <c r="B15" s="8" t="s">
        <v>2</v>
      </c>
      <c r="C15" s="9"/>
      <c r="D15" s="116"/>
      <c r="E15" s="131"/>
      <c r="F15" s="153"/>
    </row>
    <row r="16" spans="1:6" ht="19.5" customHeight="1">
      <c r="A16" s="198"/>
      <c r="B16" s="48" t="s">
        <v>3</v>
      </c>
      <c r="C16" s="9" t="s">
        <v>4</v>
      </c>
      <c r="D16" s="116">
        <f>D14/10</f>
        <v>1.7600000000000002</v>
      </c>
      <c r="E16" s="131">
        <v>10500</v>
      </c>
      <c r="F16" s="153">
        <f>E16*D16</f>
        <v>18480.000000000004</v>
      </c>
    </row>
    <row r="17" spans="1:7" ht="19.5" customHeight="1">
      <c r="A17" s="168"/>
      <c r="B17" s="60" t="s">
        <v>5</v>
      </c>
      <c r="C17" s="12"/>
      <c r="D17" s="119"/>
      <c r="E17" s="133"/>
      <c r="F17" s="160">
        <f>SUM(F16)</f>
        <v>18480.000000000004</v>
      </c>
    </row>
    <row r="18" spans="1:7" ht="19.5" customHeight="1">
      <c r="A18" s="198"/>
      <c r="B18" s="48"/>
      <c r="C18" s="9"/>
      <c r="D18" s="116"/>
      <c r="E18" s="131"/>
      <c r="F18" s="153"/>
    </row>
    <row r="19" spans="1:7" ht="19.5" customHeight="1">
      <c r="A19" s="198"/>
      <c r="B19" s="8" t="s">
        <v>6</v>
      </c>
      <c r="C19" s="9"/>
      <c r="D19" s="116"/>
      <c r="E19" s="131"/>
      <c r="F19" s="153"/>
    </row>
    <row r="20" spans="1:7" ht="19.5" customHeight="1">
      <c r="A20" s="198"/>
      <c r="B20" s="13" t="s">
        <v>7</v>
      </c>
      <c r="C20" s="9" t="s">
        <v>8</v>
      </c>
      <c r="D20" s="116">
        <f>D14/60</f>
        <v>0.29333333333333333</v>
      </c>
      <c r="E20" s="131">
        <v>8500</v>
      </c>
      <c r="F20" s="153">
        <f>E20*D20</f>
        <v>2493.3333333333335</v>
      </c>
    </row>
    <row r="21" spans="1:7" ht="19.5" customHeight="1">
      <c r="A21" s="172"/>
      <c r="B21" s="60" t="s">
        <v>9</v>
      </c>
      <c r="C21" s="61"/>
      <c r="D21" s="118"/>
      <c r="E21" s="275"/>
      <c r="F21" s="285">
        <f>SUM(F20)</f>
        <v>2493.3333333333335</v>
      </c>
      <c r="G21" s="324"/>
    </row>
    <row r="22" spans="1:7" ht="19.5" customHeight="1">
      <c r="A22" s="200">
        <v>2.02</v>
      </c>
      <c r="B22" s="2" t="s">
        <v>97</v>
      </c>
      <c r="C22" s="3" t="s">
        <v>1</v>
      </c>
      <c r="D22" s="115">
        <v>78</v>
      </c>
      <c r="E22" s="132">
        <f>89050/D22</f>
        <v>1141.6666666666667</v>
      </c>
      <c r="F22" s="158">
        <f>E22*D22</f>
        <v>89050</v>
      </c>
    </row>
    <row r="23" spans="1:7" ht="19.5" customHeight="1">
      <c r="A23" s="198"/>
      <c r="B23" s="8" t="s">
        <v>2</v>
      </c>
      <c r="C23" s="9"/>
      <c r="D23" s="116"/>
      <c r="E23" s="131"/>
      <c r="F23" s="153"/>
    </row>
    <row r="24" spans="1:7" ht="19.5" customHeight="1">
      <c r="A24" s="198"/>
      <c r="B24" s="48" t="s">
        <v>3</v>
      </c>
      <c r="C24" s="9" t="s">
        <v>4</v>
      </c>
      <c r="D24" s="116">
        <f>D22/10</f>
        <v>7.8</v>
      </c>
      <c r="E24" s="131">
        <v>10500</v>
      </c>
      <c r="F24" s="153">
        <f>E24*D24</f>
        <v>81900</v>
      </c>
    </row>
    <row r="25" spans="1:7" ht="19.5" customHeight="1">
      <c r="A25" s="168"/>
      <c r="B25" s="60" t="s">
        <v>5</v>
      </c>
      <c r="C25" s="12"/>
      <c r="D25" s="119"/>
      <c r="E25" s="133"/>
      <c r="F25" s="160">
        <f>SUM(F24)</f>
        <v>81900</v>
      </c>
    </row>
    <row r="26" spans="1:7" ht="19.5" customHeight="1">
      <c r="A26" s="198"/>
      <c r="B26" s="48"/>
      <c r="C26" s="9"/>
      <c r="D26" s="116"/>
      <c r="E26" s="131"/>
      <c r="F26" s="153"/>
    </row>
    <row r="27" spans="1:7" ht="19.5" customHeight="1">
      <c r="A27" s="198"/>
      <c r="B27" s="8" t="s">
        <v>6</v>
      </c>
      <c r="C27" s="9"/>
      <c r="D27" s="116"/>
      <c r="E27" s="131"/>
      <c r="F27" s="153"/>
    </row>
    <row r="28" spans="1:7" ht="19.5" customHeight="1">
      <c r="A28" s="198"/>
      <c r="B28" s="13" t="s">
        <v>7</v>
      </c>
      <c r="C28" s="9" t="s">
        <v>8</v>
      </c>
      <c r="D28" s="116">
        <f>D22/60</f>
        <v>1.3</v>
      </c>
      <c r="E28" s="131">
        <v>5500</v>
      </c>
      <c r="F28" s="153">
        <f>E28*D28</f>
        <v>7150</v>
      </c>
    </row>
    <row r="29" spans="1:7" ht="19.5" customHeight="1">
      <c r="A29" s="172"/>
      <c r="B29" s="60" t="s">
        <v>9</v>
      </c>
      <c r="C29" s="61"/>
      <c r="D29" s="118"/>
      <c r="E29" s="275"/>
      <c r="F29" s="285">
        <f>SUM(F28)</f>
        <v>7150</v>
      </c>
      <c r="G29" s="324"/>
    </row>
    <row r="30" spans="1:7" ht="19.5" customHeight="1">
      <c r="A30" s="197">
        <v>2.0299999999999998</v>
      </c>
      <c r="B30" s="16" t="s">
        <v>96</v>
      </c>
      <c r="C30" s="35" t="s">
        <v>1</v>
      </c>
      <c r="D30" s="123">
        <f>(0.75*0.75)*10</f>
        <v>5.625</v>
      </c>
      <c r="E30" s="136">
        <f>6422/D30</f>
        <v>1141.6888888888889</v>
      </c>
      <c r="F30" s="151">
        <f>E30*D30</f>
        <v>6422</v>
      </c>
    </row>
    <row r="31" spans="1:7" ht="19.5" customHeight="1">
      <c r="A31" s="198"/>
      <c r="B31" s="8" t="s">
        <v>2</v>
      </c>
      <c r="C31" s="9"/>
      <c r="D31" s="116"/>
      <c r="E31" s="131"/>
      <c r="F31" s="153"/>
    </row>
    <row r="32" spans="1:7" ht="19.7" customHeight="1">
      <c r="A32" s="198"/>
      <c r="B32" s="48" t="s">
        <v>3</v>
      </c>
      <c r="C32" s="9" t="s">
        <v>4</v>
      </c>
      <c r="D32" s="116">
        <f>D30/10</f>
        <v>0.5625</v>
      </c>
      <c r="E32" s="131">
        <v>10500</v>
      </c>
      <c r="F32" s="153">
        <f>E32*D32</f>
        <v>5906.25</v>
      </c>
    </row>
    <row r="33" spans="1:7" ht="19.5" customHeight="1">
      <c r="A33" s="168"/>
      <c r="B33" s="60" t="s">
        <v>5</v>
      </c>
      <c r="C33" s="12"/>
      <c r="D33" s="119"/>
      <c r="E33" s="133"/>
      <c r="F33" s="160">
        <f>SUM(F32)</f>
        <v>5906.25</v>
      </c>
    </row>
    <row r="34" spans="1:7" ht="19.5" customHeight="1">
      <c r="A34" s="168"/>
      <c r="B34" s="60"/>
      <c r="C34" s="12"/>
      <c r="D34" s="119"/>
      <c r="E34" s="133"/>
      <c r="F34" s="160"/>
    </row>
    <row r="35" spans="1:7" ht="19.5" customHeight="1">
      <c r="A35" s="198"/>
      <c r="B35" s="8" t="s">
        <v>6</v>
      </c>
      <c r="C35" s="9"/>
      <c r="D35" s="116"/>
      <c r="E35" s="131"/>
      <c r="F35" s="153"/>
    </row>
    <row r="36" spans="1:7" ht="19.5" customHeight="1">
      <c r="A36" s="198"/>
      <c r="B36" s="13" t="s">
        <v>7</v>
      </c>
      <c r="C36" s="9" t="s">
        <v>8</v>
      </c>
      <c r="D36" s="116">
        <f>D30/60</f>
        <v>9.375E-2</v>
      </c>
      <c r="E36" s="131">
        <v>5500</v>
      </c>
      <c r="F36" s="153">
        <f>E36*D36</f>
        <v>515.625</v>
      </c>
    </row>
    <row r="37" spans="1:7" ht="19.5" customHeight="1">
      <c r="A37" s="172"/>
      <c r="B37" s="60" t="s">
        <v>9</v>
      </c>
      <c r="C37" s="61"/>
      <c r="D37" s="118"/>
      <c r="E37" s="275"/>
      <c r="F37" s="285">
        <f>SUM(F36)</f>
        <v>515.625</v>
      </c>
      <c r="G37" s="324"/>
    </row>
    <row r="38" spans="1:7" ht="19.5" customHeight="1">
      <c r="A38" s="172"/>
      <c r="B38" s="60"/>
      <c r="C38" s="61"/>
      <c r="D38" s="113"/>
      <c r="E38" s="275"/>
      <c r="F38" s="285"/>
    </row>
    <row r="39" spans="1:7" ht="19.5" customHeight="1">
      <c r="A39" s="161">
        <v>3</v>
      </c>
      <c r="B39" s="478" t="s">
        <v>77</v>
      </c>
      <c r="C39" s="478"/>
      <c r="D39" s="478"/>
      <c r="E39" s="478"/>
      <c r="F39" s="479"/>
    </row>
    <row r="40" spans="1:7" ht="19.5" customHeight="1">
      <c r="A40" s="197">
        <v>3.01</v>
      </c>
      <c r="B40" s="16" t="s">
        <v>71</v>
      </c>
      <c r="C40" s="3" t="s">
        <v>1</v>
      </c>
      <c r="D40" s="115">
        <f>44*0.4</f>
        <v>17.600000000000001</v>
      </c>
      <c r="E40" s="132">
        <f>(F47+F51+F57)/D40</f>
        <v>4982.0405128205139</v>
      </c>
      <c r="F40" s="158">
        <f>E40*D40</f>
        <v>87683.913025641057</v>
      </c>
    </row>
    <row r="41" spans="1:7" ht="19.5" customHeight="1">
      <c r="A41" s="201"/>
      <c r="B41" s="19"/>
      <c r="C41" s="20" t="s">
        <v>10</v>
      </c>
      <c r="D41" s="135">
        <f>D40*0.05</f>
        <v>0.88000000000000012</v>
      </c>
      <c r="E41" s="134"/>
      <c r="F41" s="158"/>
    </row>
    <row r="42" spans="1:7" ht="19.5" customHeight="1">
      <c r="A42" s="202"/>
      <c r="B42" s="96" t="s">
        <v>2</v>
      </c>
      <c r="C42" s="23"/>
      <c r="D42" s="116"/>
      <c r="E42" s="131"/>
      <c r="F42" s="287"/>
    </row>
    <row r="43" spans="1:7" ht="19.5" customHeight="1">
      <c r="A43" s="202"/>
      <c r="B43" s="97" t="s">
        <v>11</v>
      </c>
      <c r="C43" s="23" t="s">
        <v>12</v>
      </c>
      <c r="D43" s="116">
        <f>D41*(1/13)*1.57*(1440/50)</f>
        <v>3.0607753846153853</v>
      </c>
      <c r="E43" s="131">
        <v>11200</v>
      </c>
      <c r="F43" s="287">
        <f>E43*D43</f>
        <v>34280.684307692318</v>
      </c>
    </row>
    <row r="44" spans="1:7" ht="19.5" customHeight="1">
      <c r="A44" s="202"/>
      <c r="B44" s="97" t="s">
        <v>13</v>
      </c>
      <c r="C44" s="23" t="s">
        <v>10</v>
      </c>
      <c r="D44" s="116">
        <f>D41*(4/13)*1.57</f>
        <v>0.42510769230769241</v>
      </c>
      <c r="E44" s="131">
        <v>30500</v>
      </c>
      <c r="F44" s="287">
        <f t="shared" ref="F44:F46" si="0">E44*D44</f>
        <v>12965.784615384619</v>
      </c>
    </row>
    <row r="45" spans="1:7" ht="19.5" customHeight="1">
      <c r="A45" s="202"/>
      <c r="B45" s="97" t="s">
        <v>14</v>
      </c>
      <c r="C45" s="23" t="s">
        <v>10</v>
      </c>
      <c r="D45" s="116">
        <f>D41*(8/13)*1.57</f>
        <v>0.85021538461538482</v>
      </c>
      <c r="E45" s="131">
        <v>42300</v>
      </c>
      <c r="F45" s="287">
        <f t="shared" si="0"/>
        <v>35964.110769230778</v>
      </c>
    </row>
    <row r="46" spans="1:7" ht="19.5" customHeight="1">
      <c r="A46" s="202"/>
      <c r="B46" s="97" t="s">
        <v>15</v>
      </c>
      <c r="C46" s="23" t="s">
        <v>16</v>
      </c>
      <c r="D46" s="116">
        <f>D50*10</f>
        <v>1.466666666666667</v>
      </c>
      <c r="E46" s="131">
        <v>100</v>
      </c>
      <c r="F46" s="287">
        <f t="shared" si="0"/>
        <v>146.66666666666671</v>
      </c>
    </row>
    <row r="47" spans="1:7" ht="19.5" customHeight="1">
      <c r="A47" s="166"/>
      <c r="B47" s="96" t="s">
        <v>18</v>
      </c>
      <c r="C47" s="28"/>
      <c r="D47" s="119"/>
      <c r="E47" s="133"/>
      <c r="F47" s="288">
        <f>SUM(F43:F46)</f>
        <v>83357.246358974386</v>
      </c>
    </row>
    <row r="48" spans="1:7" ht="19.5" customHeight="1">
      <c r="A48" s="202"/>
      <c r="B48" s="97"/>
      <c r="C48" s="23"/>
      <c r="D48" s="116"/>
      <c r="E48" s="131"/>
      <c r="F48" s="287"/>
    </row>
    <row r="49" spans="1:7" ht="19.5" customHeight="1">
      <c r="A49" s="202"/>
      <c r="B49" s="96" t="s">
        <v>19</v>
      </c>
      <c r="C49" s="23"/>
      <c r="D49" s="116"/>
      <c r="E49" s="131"/>
      <c r="F49" s="287"/>
    </row>
    <row r="50" spans="1:7" ht="19.5" customHeight="1">
      <c r="A50" s="202"/>
      <c r="B50" s="97" t="s">
        <v>20</v>
      </c>
      <c r="C50" s="23" t="s">
        <v>21</v>
      </c>
      <c r="D50" s="116">
        <f>D41/6</f>
        <v>0.1466666666666667</v>
      </c>
      <c r="E50" s="131">
        <v>1500</v>
      </c>
      <c r="F50" s="287">
        <f>E50*D50</f>
        <v>220.00000000000006</v>
      </c>
    </row>
    <row r="51" spans="1:7" ht="19.5" customHeight="1">
      <c r="A51" s="166"/>
      <c r="B51" s="96" t="s">
        <v>23</v>
      </c>
      <c r="C51" s="28"/>
      <c r="D51" s="119"/>
      <c r="E51" s="133"/>
      <c r="F51" s="288">
        <f>SUM(F50)</f>
        <v>220.00000000000006</v>
      </c>
    </row>
    <row r="52" spans="1:7" ht="19.5" customHeight="1">
      <c r="A52" s="202"/>
      <c r="B52" s="97"/>
      <c r="C52" s="23"/>
      <c r="D52" s="116"/>
      <c r="E52" s="131"/>
      <c r="F52" s="287"/>
    </row>
    <row r="53" spans="1:7" ht="19.5" customHeight="1">
      <c r="A53" s="202"/>
      <c r="B53" s="96" t="s">
        <v>6</v>
      </c>
      <c r="C53" s="23"/>
      <c r="D53" s="116"/>
      <c r="E53" s="131"/>
      <c r="F53" s="287"/>
    </row>
    <row r="54" spans="1:7" ht="19.5" customHeight="1">
      <c r="A54" s="202"/>
      <c r="B54" s="97" t="s">
        <v>24</v>
      </c>
      <c r="C54" s="23" t="s">
        <v>21</v>
      </c>
      <c r="D54" s="116">
        <f>(D41/6)*2</f>
        <v>0.29333333333333339</v>
      </c>
      <c r="E54" s="131">
        <v>4000</v>
      </c>
      <c r="F54" s="287">
        <f>E54*D54</f>
        <v>1173.3333333333335</v>
      </c>
    </row>
    <row r="55" spans="1:7" ht="19.5" customHeight="1">
      <c r="A55" s="202"/>
      <c r="B55" s="97" t="s">
        <v>25</v>
      </c>
      <c r="C55" s="23" t="s">
        <v>21</v>
      </c>
      <c r="D55" s="116">
        <f>(D41/6)*18</f>
        <v>2.6400000000000006</v>
      </c>
      <c r="E55" s="131">
        <v>1000</v>
      </c>
      <c r="F55" s="287">
        <f t="shared" ref="F55:F56" si="1">E55*D55</f>
        <v>2640.0000000000005</v>
      </c>
    </row>
    <row r="56" spans="1:7" ht="19.5" customHeight="1">
      <c r="A56" s="202"/>
      <c r="B56" s="97" t="s">
        <v>26</v>
      </c>
      <c r="C56" s="23" t="s">
        <v>21</v>
      </c>
      <c r="D56" s="116">
        <f>D50</f>
        <v>0.1466666666666667</v>
      </c>
      <c r="E56" s="131">
        <v>2000</v>
      </c>
      <c r="F56" s="287">
        <f t="shared" si="1"/>
        <v>293.33333333333337</v>
      </c>
    </row>
    <row r="57" spans="1:7" ht="19.5" customHeight="1">
      <c r="A57" s="166"/>
      <c r="B57" s="96" t="s">
        <v>27</v>
      </c>
      <c r="C57" s="28"/>
      <c r="D57" s="119"/>
      <c r="E57" s="133"/>
      <c r="F57" s="288">
        <f>SUM(F54:F56)</f>
        <v>4106.666666666667</v>
      </c>
      <c r="G57" s="324"/>
    </row>
    <row r="58" spans="1:7" ht="19.5" customHeight="1">
      <c r="A58" s="197">
        <v>3.02</v>
      </c>
      <c r="B58" s="16" t="s">
        <v>98</v>
      </c>
      <c r="C58" s="3" t="s">
        <v>1</v>
      </c>
      <c r="D58" s="115">
        <f>(0.75*0.75)*10</f>
        <v>5.625</v>
      </c>
      <c r="E58" s="132">
        <f>(F65+F69+F75)/D58</f>
        <v>5019.540512820513</v>
      </c>
      <c r="F58" s="158">
        <f>E58*D58</f>
        <v>28234.915384615386</v>
      </c>
      <c r="G58" s="467"/>
    </row>
    <row r="59" spans="1:7" ht="19.5" customHeight="1">
      <c r="A59" s="201"/>
      <c r="B59" s="19"/>
      <c r="C59" s="20" t="s">
        <v>10</v>
      </c>
      <c r="D59" s="135">
        <f>D58*0.05</f>
        <v>0.28125</v>
      </c>
      <c r="E59" s="134">
        <f>F58/D59</f>
        <v>100390.81025641026</v>
      </c>
      <c r="F59" s="163">
        <f>E59*D59</f>
        <v>28234.915384615386</v>
      </c>
    </row>
    <row r="60" spans="1:7" ht="19.5" customHeight="1">
      <c r="A60" s="202"/>
      <c r="B60" s="96" t="s">
        <v>2</v>
      </c>
      <c r="C60" s="23"/>
      <c r="D60" s="116"/>
      <c r="E60" s="131"/>
      <c r="F60" s="287"/>
    </row>
    <row r="61" spans="1:7" ht="19.5" customHeight="1">
      <c r="A61" s="202"/>
      <c r="B61" s="97" t="s">
        <v>11</v>
      </c>
      <c r="C61" s="23" t="s">
        <v>12</v>
      </c>
      <c r="D61" s="116">
        <f>D59*(1/13)*1.57*(1440/50)</f>
        <v>0.97823076923076924</v>
      </c>
      <c r="E61" s="131">
        <v>11200</v>
      </c>
      <c r="F61" s="287">
        <f>E61*D61</f>
        <v>10956.184615384616</v>
      </c>
    </row>
    <row r="62" spans="1:7" ht="19.5" customHeight="1">
      <c r="A62" s="202"/>
      <c r="B62" s="97" t="s">
        <v>13</v>
      </c>
      <c r="C62" s="23" t="s">
        <v>10</v>
      </c>
      <c r="D62" s="116">
        <f>D59*(4/13)*1.57</f>
        <v>0.13586538461538461</v>
      </c>
      <c r="E62" s="131">
        <v>30500</v>
      </c>
      <c r="F62" s="287">
        <f t="shared" ref="F62:F64" si="2">E62*D62</f>
        <v>4143.8942307692305</v>
      </c>
    </row>
    <row r="63" spans="1:7" ht="19.5" customHeight="1">
      <c r="A63" s="202"/>
      <c r="B63" s="97" t="s">
        <v>14</v>
      </c>
      <c r="C63" s="23" t="s">
        <v>10</v>
      </c>
      <c r="D63" s="116">
        <f>D59*(8/13)*1.57</f>
        <v>0.27173076923076922</v>
      </c>
      <c r="E63" s="131">
        <v>42300</v>
      </c>
      <c r="F63" s="287">
        <f t="shared" si="2"/>
        <v>11494.211538461537</v>
      </c>
    </row>
    <row r="64" spans="1:7" ht="19.5" customHeight="1">
      <c r="A64" s="202"/>
      <c r="B64" s="97" t="s">
        <v>15</v>
      </c>
      <c r="C64" s="23" t="s">
        <v>16</v>
      </c>
      <c r="D64" s="116">
        <f>D68*10</f>
        <v>0.46875</v>
      </c>
      <c r="E64" s="131">
        <v>200</v>
      </c>
      <c r="F64" s="287">
        <f t="shared" si="2"/>
        <v>93.75</v>
      </c>
    </row>
    <row r="65" spans="1:8" ht="19.5" customHeight="1">
      <c r="A65" s="166"/>
      <c r="B65" s="96" t="s">
        <v>18</v>
      </c>
      <c r="C65" s="28"/>
      <c r="D65" s="119"/>
      <c r="E65" s="133"/>
      <c r="F65" s="288">
        <f>SUM(F61:F64)</f>
        <v>26688.040384615386</v>
      </c>
    </row>
    <row r="66" spans="1:8" ht="19.5" customHeight="1">
      <c r="A66" s="202"/>
      <c r="B66" s="97"/>
      <c r="C66" s="23"/>
      <c r="D66" s="116"/>
      <c r="E66" s="131"/>
      <c r="F66" s="287"/>
    </row>
    <row r="67" spans="1:8" ht="19.5" customHeight="1">
      <c r="A67" s="202"/>
      <c r="B67" s="96" t="s">
        <v>19</v>
      </c>
      <c r="C67" s="23"/>
      <c r="D67" s="116"/>
      <c r="E67" s="131"/>
      <c r="F67" s="287"/>
    </row>
    <row r="68" spans="1:8" ht="19.5" customHeight="1">
      <c r="A68" s="202"/>
      <c r="B68" s="97" t="s">
        <v>20</v>
      </c>
      <c r="C68" s="23" t="s">
        <v>21</v>
      </c>
      <c r="D68" s="116">
        <f>D59/6</f>
        <v>4.6875E-2</v>
      </c>
      <c r="E68" s="131">
        <v>5000</v>
      </c>
      <c r="F68" s="287">
        <f>E68*D68</f>
        <v>234.375</v>
      </c>
    </row>
    <row r="69" spans="1:8" ht="19.5" customHeight="1">
      <c r="A69" s="166"/>
      <c r="B69" s="96" t="s">
        <v>23</v>
      </c>
      <c r="C69" s="28"/>
      <c r="D69" s="119"/>
      <c r="E69" s="133"/>
      <c r="F69" s="288">
        <f>SUM(F68)</f>
        <v>234.375</v>
      </c>
    </row>
    <row r="70" spans="1:8" ht="19.5" customHeight="1">
      <c r="A70" s="202"/>
      <c r="B70" s="97"/>
      <c r="C70" s="23"/>
      <c r="D70" s="116"/>
      <c r="E70" s="131"/>
      <c r="F70" s="287"/>
    </row>
    <row r="71" spans="1:8" ht="19.5" customHeight="1">
      <c r="A71" s="202"/>
      <c r="B71" s="96" t="s">
        <v>6</v>
      </c>
      <c r="C71" s="23"/>
      <c r="D71" s="116"/>
      <c r="E71" s="131"/>
      <c r="F71" s="287"/>
    </row>
    <row r="72" spans="1:8" ht="19.5" customHeight="1">
      <c r="A72" s="202"/>
      <c r="B72" s="97" t="s">
        <v>24</v>
      </c>
      <c r="C72" s="23" t="s">
        <v>21</v>
      </c>
      <c r="D72" s="116">
        <f>(D59/6)*2</f>
        <v>9.375E-2</v>
      </c>
      <c r="E72" s="131">
        <v>4000</v>
      </c>
      <c r="F72" s="287">
        <f>E72*D72</f>
        <v>375</v>
      </c>
      <c r="G72" s="464"/>
    </row>
    <row r="73" spans="1:8" ht="19.5" customHeight="1">
      <c r="A73" s="202"/>
      <c r="B73" s="97" t="s">
        <v>25</v>
      </c>
      <c r="C73" s="23" t="s">
        <v>21</v>
      </c>
      <c r="D73" s="116">
        <f>(D59/6)*18</f>
        <v>0.84375</v>
      </c>
      <c r="E73" s="131">
        <v>1000</v>
      </c>
      <c r="F73" s="287">
        <f t="shared" ref="F73:F74" si="3">E73*D73</f>
        <v>843.75</v>
      </c>
      <c r="H73" s="464"/>
    </row>
    <row r="74" spans="1:8" ht="19.5" customHeight="1">
      <c r="A74" s="202"/>
      <c r="B74" s="97" t="s">
        <v>26</v>
      </c>
      <c r="C74" s="23" t="s">
        <v>21</v>
      </c>
      <c r="D74" s="116">
        <f>D68</f>
        <v>4.6875E-2</v>
      </c>
      <c r="E74" s="131">
        <v>2000</v>
      </c>
      <c r="F74" s="287">
        <f t="shared" si="3"/>
        <v>93.75</v>
      </c>
    </row>
    <row r="75" spans="1:8" ht="19.5" customHeight="1">
      <c r="A75" s="166"/>
      <c r="B75" s="96" t="s">
        <v>27</v>
      </c>
      <c r="C75" s="28"/>
      <c r="D75" s="119"/>
      <c r="E75" s="133"/>
      <c r="F75" s="288">
        <f>SUM(F72:F74)</f>
        <v>1312.5</v>
      </c>
      <c r="G75" s="324"/>
    </row>
    <row r="76" spans="1:8" ht="19.5" customHeight="1">
      <c r="A76" s="166"/>
      <c r="B76" s="96"/>
      <c r="C76" s="28"/>
      <c r="D76" s="119"/>
      <c r="E76" s="133"/>
      <c r="F76" s="288"/>
    </row>
    <row r="77" spans="1:8" ht="19.5" customHeight="1">
      <c r="A77" s="166">
        <v>4</v>
      </c>
      <c r="B77" s="480" t="s">
        <v>82</v>
      </c>
      <c r="C77" s="480"/>
      <c r="D77" s="480"/>
      <c r="E77" s="480"/>
      <c r="F77" s="481"/>
    </row>
    <row r="78" spans="1:8" ht="19.5" customHeight="1">
      <c r="A78" s="197">
        <v>4.01</v>
      </c>
      <c r="B78" s="98" t="s">
        <v>83</v>
      </c>
      <c r="C78" s="69" t="s">
        <v>50</v>
      </c>
      <c r="D78" s="123">
        <f>((0.75*0.2)*4)*6</f>
        <v>3.6000000000000005</v>
      </c>
      <c r="E78" s="136">
        <f>39568/D78</f>
        <v>10991.111111111109</v>
      </c>
      <c r="F78" s="289">
        <f>E78*D78</f>
        <v>39568</v>
      </c>
    </row>
    <row r="79" spans="1:8" ht="19.5" customHeight="1">
      <c r="A79" s="202"/>
      <c r="B79" s="96" t="s">
        <v>2</v>
      </c>
      <c r="C79" s="23"/>
      <c r="D79" s="112"/>
      <c r="E79" s="131"/>
      <c r="F79" s="287"/>
    </row>
    <row r="80" spans="1:8" ht="19.5" customHeight="1">
      <c r="A80" s="202"/>
      <c r="B80" s="97" t="s">
        <v>84</v>
      </c>
      <c r="C80" s="23" t="s">
        <v>85</v>
      </c>
      <c r="D80" s="116">
        <f>D78/(2.4*1.2)/2</f>
        <v>0.62500000000000011</v>
      </c>
      <c r="E80" s="131">
        <v>3500</v>
      </c>
      <c r="F80" s="287">
        <f>E80*D80</f>
        <v>2187.5000000000005</v>
      </c>
    </row>
    <row r="81" spans="1:7" ht="19.5" customHeight="1">
      <c r="A81" s="202"/>
      <c r="B81" s="97" t="s">
        <v>86</v>
      </c>
      <c r="C81" s="23" t="s">
        <v>44</v>
      </c>
      <c r="D81" s="116">
        <f>D78*1.5</f>
        <v>5.4</v>
      </c>
      <c r="E81" s="131">
        <v>5000</v>
      </c>
      <c r="F81" s="287">
        <f t="shared" ref="F81:F82" si="4">E81*D81</f>
        <v>27000</v>
      </c>
    </row>
    <row r="82" spans="1:7" ht="19.5" customHeight="1">
      <c r="A82" s="198"/>
      <c r="B82" s="97" t="s">
        <v>87</v>
      </c>
      <c r="C82" s="23" t="s">
        <v>88</v>
      </c>
      <c r="D82" s="116">
        <f>D78*0.25</f>
        <v>0.90000000000000013</v>
      </c>
      <c r="E82" s="131">
        <v>2200</v>
      </c>
      <c r="F82" s="287">
        <f t="shared" si="4"/>
        <v>1980.0000000000002</v>
      </c>
    </row>
    <row r="83" spans="1:7" ht="19.5" customHeight="1">
      <c r="A83" s="198"/>
      <c r="B83" s="96" t="s">
        <v>89</v>
      </c>
      <c r="C83" s="28"/>
      <c r="D83" s="119"/>
      <c r="E83" s="133"/>
      <c r="F83" s="288">
        <f>SUM(F80:F82)</f>
        <v>31167.5</v>
      </c>
    </row>
    <row r="84" spans="1:7" ht="19.5" customHeight="1">
      <c r="A84" s="198"/>
      <c r="B84" s="97"/>
      <c r="C84" s="23"/>
      <c r="D84" s="116"/>
      <c r="E84" s="131"/>
      <c r="F84" s="287"/>
    </row>
    <row r="85" spans="1:7" ht="19.5" customHeight="1">
      <c r="A85" s="199"/>
      <c r="B85" s="96" t="s">
        <v>6</v>
      </c>
      <c r="C85" s="23"/>
      <c r="D85" s="116"/>
      <c r="E85" s="131"/>
      <c r="F85" s="287"/>
    </row>
    <row r="86" spans="1:7" ht="19.5" customHeight="1">
      <c r="A86" s="199"/>
      <c r="B86" s="97" t="s">
        <v>90</v>
      </c>
      <c r="C86" s="23" t="s">
        <v>21</v>
      </c>
      <c r="D86" s="116">
        <f>D78/15</f>
        <v>0.24000000000000005</v>
      </c>
      <c r="E86" s="131">
        <v>15000</v>
      </c>
      <c r="F86" s="287">
        <f>E86*D86</f>
        <v>3600.0000000000009</v>
      </c>
    </row>
    <row r="87" spans="1:7" ht="19.5" customHeight="1">
      <c r="A87" s="199"/>
      <c r="B87" s="97" t="s">
        <v>25</v>
      </c>
      <c r="C87" s="23" t="s">
        <v>21</v>
      </c>
      <c r="D87" s="116">
        <f>D86*2</f>
        <v>0.48000000000000009</v>
      </c>
      <c r="E87" s="131">
        <v>10000</v>
      </c>
      <c r="F87" s="287">
        <f>E87*D87</f>
        <v>4800.0000000000009</v>
      </c>
    </row>
    <row r="88" spans="1:7" ht="19.5" customHeight="1">
      <c r="A88" s="202"/>
      <c r="B88" s="96" t="s">
        <v>91</v>
      </c>
      <c r="C88" s="28"/>
      <c r="D88" s="120"/>
      <c r="E88" s="133"/>
      <c r="F88" s="288">
        <f>SUM(F86:F87)</f>
        <v>8400.0000000000018</v>
      </c>
      <c r="G88" s="324"/>
    </row>
    <row r="89" spans="1:7" ht="19.5" customHeight="1">
      <c r="A89" s="197">
        <v>4.0199999999999996</v>
      </c>
      <c r="B89" s="98" t="s">
        <v>118</v>
      </c>
      <c r="C89" s="69" t="s">
        <v>50</v>
      </c>
      <c r="D89" s="123">
        <f>((1.05*0.3)*4)*10</f>
        <v>12.6</v>
      </c>
      <c r="E89" s="136">
        <f>98499/D89</f>
        <v>7817.3809523809523</v>
      </c>
      <c r="F89" s="289">
        <f>E89*D89</f>
        <v>98499</v>
      </c>
    </row>
    <row r="90" spans="1:7" ht="19.5" customHeight="1">
      <c r="A90" s="202"/>
      <c r="B90" s="96" t="s">
        <v>2</v>
      </c>
      <c r="C90" s="23"/>
      <c r="D90" s="112"/>
      <c r="E90" s="131"/>
      <c r="F90" s="287"/>
    </row>
    <row r="91" spans="1:7" ht="19.5" customHeight="1">
      <c r="A91" s="202"/>
      <c r="B91" s="97" t="s">
        <v>84</v>
      </c>
      <c r="C91" s="23" t="s">
        <v>85</v>
      </c>
      <c r="D91" s="116">
        <f>D89/(2.4*1.2)/2</f>
        <v>2.1875</v>
      </c>
      <c r="E91" s="131">
        <v>2500</v>
      </c>
      <c r="F91" s="287">
        <f>E91*D91</f>
        <v>5468.75</v>
      </c>
    </row>
    <row r="92" spans="1:7" ht="19.5" customHeight="1">
      <c r="A92" s="202"/>
      <c r="B92" s="97" t="s">
        <v>86</v>
      </c>
      <c r="C92" s="23" t="s">
        <v>44</v>
      </c>
      <c r="D92" s="116">
        <f>D89*1.5</f>
        <v>18.899999999999999</v>
      </c>
      <c r="E92" s="131">
        <v>3000</v>
      </c>
      <c r="F92" s="287">
        <f t="shared" ref="F92:F93" si="5">E92*D92</f>
        <v>56699.999999999993</v>
      </c>
    </row>
    <row r="93" spans="1:7" ht="19.5" customHeight="1">
      <c r="A93" s="198"/>
      <c r="B93" s="97" t="s">
        <v>87</v>
      </c>
      <c r="C93" s="23" t="s">
        <v>88</v>
      </c>
      <c r="D93" s="116">
        <f>D89*0.25</f>
        <v>3.15</v>
      </c>
      <c r="E93" s="131">
        <v>2200</v>
      </c>
      <c r="F93" s="287">
        <f t="shared" si="5"/>
        <v>6930</v>
      </c>
    </row>
    <row r="94" spans="1:7" ht="19.5" customHeight="1">
      <c r="A94" s="198"/>
      <c r="B94" s="96" t="s">
        <v>89</v>
      </c>
      <c r="C94" s="28"/>
      <c r="D94" s="119"/>
      <c r="E94" s="133"/>
      <c r="F94" s="288">
        <f>SUM(F91:F93)</f>
        <v>69098.75</v>
      </c>
    </row>
    <row r="95" spans="1:7" ht="19.5" customHeight="1">
      <c r="A95" s="198"/>
      <c r="B95" s="97"/>
      <c r="C95" s="23"/>
      <c r="D95" s="116"/>
      <c r="E95" s="131"/>
      <c r="F95" s="287"/>
    </row>
    <row r="96" spans="1:7" ht="19.5" customHeight="1">
      <c r="A96" s="199"/>
      <c r="B96" s="96" t="s">
        <v>6</v>
      </c>
      <c r="C96" s="23"/>
      <c r="D96" s="116"/>
      <c r="E96" s="131"/>
      <c r="F96" s="287"/>
    </row>
    <row r="97" spans="1:7" ht="19.5" customHeight="1">
      <c r="A97" s="199"/>
      <c r="B97" s="97" t="s">
        <v>90</v>
      </c>
      <c r="C97" s="23" t="s">
        <v>21</v>
      </c>
      <c r="D97" s="116">
        <f>D89/15</f>
        <v>0.84</v>
      </c>
      <c r="E97" s="131">
        <v>15000</v>
      </c>
      <c r="F97" s="287">
        <f>E97*D97</f>
        <v>12600</v>
      </c>
    </row>
    <row r="98" spans="1:7" ht="19.5" customHeight="1">
      <c r="A98" s="199"/>
      <c r="B98" s="97" t="s">
        <v>25</v>
      </c>
      <c r="C98" s="23" t="s">
        <v>21</v>
      </c>
      <c r="D98" s="116">
        <f>D97*2</f>
        <v>1.68</v>
      </c>
      <c r="E98" s="131">
        <v>10000</v>
      </c>
      <c r="F98" s="287">
        <f>E98*D98</f>
        <v>16800</v>
      </c>
    </row>
    <row r="99" spans="1:7" ht="19.5" customHeight="1">
      <c r="A99" s="202"/>
      <c r="B99" s="96" t="s">
        <v>91</v>
      </c>
      <c r="C99" s="28"/>
      <c r="D99" s="120"/>
      <c r="E99" s="133"/>
      <c r="F99" s="288">
        <f>SUM(F97:F98)</f>
        <v>29400</v>
      </c>
      <c r="G99" s="324"/>
    </row>
    <row r="100" spans="1:7" ht="19.5" customHeight="1">
      <c r="A100" s="197">
        <v>4.03</v>
      </c>
      <c r="B100" s="98" t="s">
        <v>95</v>
      </c>
      <c r="C100" s="69" t="s">
        <v>36</v>
      </c>
      <c r="D100" s="123">
        <f>((3.1*0.3)*4)*10</f>
        <v>37.199999999999996</v>
      </c>
      <c r="E100" s="136">
        <f>415323/D100</f>
        <v>11164.596774193549</v>
      </c>
      <c r="F100" s="289">
        <f>E100*D100</f>
        <v>415323</v>
      </c>
      <c r="G100" s="67"/>
    </row>
    <row r="101" spans="1:7" ht="19.5" customHeight="1">
      <c r="A101" s="202"/>
      <c r="B101" s="96" t="s">
        <v>2</v>
      </c>
      <c r="C101" s="23"/>
      <c r="D101" s="112"/>
      <c r="E101" s="131"/>
      <c r="F101" s="287"/>
      <c r="G101" s="67"/>
    </row>
    <row r="102" spans="1:7" ht="19.5" customHeight="1">
      <c r="A102" s="202"/>
      <c r="B102" s="97" t="s">
        <v>84</v>
      </c>
      <c r="C102" s="23" t="s">
        <v>85</v>
      </c>
      <c r="D102" s="116">
        <f>D100/(2.4*1.2)/2</f>
        <v>6.458333333333333</v>
      </c>
      <c r="E102" s="131">
        <v>4500</v>
      </c>
      <c r="F102" s="287">
        <f>E102*D102</f>
        <v>29062.5</v>
      </c>
    </row>
    <row r="103" spans="1:7" ht="19.5" customHeight="1">
      <c r="A103" s="202"/>
      <c r="B103" s="97" t="s">
        <v>86</v>
      </c>
      <c r="C103" s="23" t="s">
        <v>44</v>
      </c>
      <c r="D103" s="116">
        <f>D100*1.5</f>
        <v>55.8</v>
      </c>
      <c r="E103" s="131">
        <v>5000</v>
      </c>
      <c r="F103" s="287">
        <f t="shared" ref="F103:F104" si="6">E103*D103</f>
        <v>279000</v>
      </c>
    </row>
    <row r="104" spans="1:7" ht="19.5" customHeight="1">
      <c r="A104" s="198"/>
      <c r="B104" s="97" t="s">
        <v>87</v>
      </c>
      <c r="C104" s="23" t="s">
        <v>88</v>
      </c>
      <c r="D104" s="116">
        <f>D100*0.25</f>
        <v>9.2999999999999989</v>
      </c>
      <c r="E104" s="131">
        <v>2200</v>
      </c>
      <c r="F104" s="287">
        <f t="shared" si="6"/>
        <v>20459.999999999996</v>
      </c>
    </row>
    <row r="105" spans="1:7" s="64" customFormat="1" ht="19.5" customHeight="1">
      <c r="A105" s="198"/>
      <c r="B105" s="96" t="s">
        <v>89</v>
      </c>
      <c r="C105" s="28"/>
      <c r="D105" s="119"/>
      <c r="E105" s="133"/>
      <c r="F105" s="288">
        <f>SUM(F102:F104)</f>
        <v>328522.5</v>
      </c>
    </row>
    <row r="106" spans="1:7" ht="19.5" customHeight="1">
      <c r="A106" s="198"/>
      <c r="B106" s="97"/>
      <c r="C106" s="23"/>
      <c r="D106" s="116"/>
      <c r="E106" s="131"/>
      <c r="F106" s="287"/>
    </row>
    <row r="107" spans="1:7" ht="19.5" customHeight="1">
      <c r="A107" s="199"/>
      <c r="B107" s="96" t="s">
        <v>6</v>
      </c>
      <c r="C107" s="23"/>
      <c r="D107" s="116"/>
      <c r="E107" s="131"/>
      <c r="F107" s="287"/>
    </row>
    <row r="108" spans="1:7" ht="19.5" customHeight="1">
      <c r="A108" s="199"/>
      <c r="B108" s="97" t="s">
        <v>90</v>
      </c>
      <c r="C108" s="23" t="s">
        <v>21</v>
      </c>
      <c r="D108" s="116">
        <f>D100/15</f>
        <v>2.4799999999999995</v>
      </c>
      <c r="E108" s="131">
        <v>15000</v>
      </c>
      <c r="F108" s="287">
        <f>E108*D108</f>
        <v>37199.999999999993</v>
      </c>
    </row>
    <row r="109" spans="1:7" s="58" customFormat="1" ht="19.5" customHeight="1">
      <c r="A109" s="199"/>
      <c r="B109" s="97" t="s">
        <v>25</v>
      </c>
      <c r="C109" s="23" t="s">
        <v>21</v>
      </c>
      <c r="D109" s="116">
        <f>D108*2</f>
        <v>4.9599999999999991</v>
      </c>
      <c r="E109" s="131">
        <v>10000</v>
      </c>
      <c r="F109" s="287">
        <f>E109*D109</f>
        <v>49599.999999999993</v>
      </c>
    </row>
    <row r="110" spans="1:7" ht="19.5" customHeight="1">
      <c r="A110" s="202"/>
      <c r="B110" s="11" t="s">
        <v>9</v>
      </c>
      <c r="C110" s="28"/>
      <c r="D110" s="120"/>
      <c r="E110" s="133"/>
      <c r="F110" s="288">
        <f>SUM(F108:F109)</f>
        <v>86799.999999999985</v>
      </c>
      <c r="G110" s="324"/>
    </row>
    <row r="111" spans="1:7" ht="19.5" customHeight="1">
      <c r="A111" s="202"/>
      <c r="B111" s="11"/>
      <c r="C111" s="28"/>
      <c r="D111" s="120"/>
      <c r="E111" s="133"/>
      <c r="F111" s="288"/>
    </row>
    <row r="112" spans="1:7" ht="19.5" customHeight="1">
      <c r="A112" s="203">
        <v>5</v>
      </c>
      <c r="B112" s="99" t="s">
        <v>105</v>
      </c>
      <c r="C112" s="69" t="s">
        <v>88</v>
      </c>
      <c r="D112" s="123">
        <v>361.34</v>
      </c>
      <c r="E112" s="136">
        <f>2303844/D112</f>
        <v>6375.8343941993699</v>
      </c>
      <c r="F112" s="289">
        <f>E112*D112</f>
        <v>2303844</v>
      </c>
    </row>
    <row r="113" spans="1:7" ht="19.5" customHeight="1">
      <c r="A113" s="202"/>
      <c r="B113" s="96" t="s">
        <v>2</v>
      </c>
      <c r="C113" s="23"/>
      <c r="D113" s="112"/>
      <c r="E113" s="131"/>
      <c r="F113" s="287"/>
    </row>
    <row r="114" spans="1:7" s="59" customFormat="1" ht="19.5" customHeight="1">
      <c r="A114" s="202"/>
      <c r="B114" s="97" t="s">
        <v>106</v>
      </c>
      <c r="C114" s="23" t="s">
        <v>88</v>
      </c>
      <c r="D114" s="116">
        <f>D112*1.1</f>
        <v>397.47399999999999</v>
      </c>
      <c r="E114" s="131">
        <v>5050</v>
      </c>
      <c r="F114" s="287">
        <f>E114*D114</f>
        <v>2007243.7</v>
      </c>
    </row>
    <row r="115" spans="1:7" ht="19.5" customHeight="1">
      <c r="A115" s="202"/>
      <c r="B115" s="97" t="s">
        <v>107</v>
      </c>
      <c r="C115" s="23" t="s">
        <v>88</v>
      </c>
      <c r="D115" s="116">
        <f>D112*2.5%</f>
        <v>9.0335000000000001</v>
      </c>
      <c r="E115" s="131">
        <v>3500</v>
      </c>
      <c r="F115" s="287">
        <f>E115*D115</f>
        <v>31617.25</v>
      </c>
    </row>
    <row r="116" spans="1:7" s="64" customFormat="1" ht="19.5" customHeight="1">
      <c r="A116" s="202"/>
      <c r="B116" s="97"/>
      <c r="C116" s="23"/>
      <c r="D116" s="116"/>
      <c r="E116" s="131"/>
      <c r="F116" s="287">
        <v>0</v>
      </c>
    </row>
    <row r="117" spans="1:7" ht="19.5" customHeight="1">
      <c r="A117" s="166"/>
      <c r="B117" s="96" t="s">
        <v>108</v>
      </c>
      <c r="C117" s="28"/>
      <c r="D117" s="119"/>
      <c r="E117" s="133"/>
      <c r="F117" s="288">
        <f>SUM(F114:F116)</f>
        <v>2038860.95</v>
      </c>
    </row>
    <row r="118" spans="1:7" ht="19.5" customHeight="1">
      <c r="A118" s="202"/>
      <c r="B118" s="97"/>
      <c r="C118" s="23"/>
      <c r="D118" s="116"/>
      <c r="E118" s="131"/>
      <c r="F118" s="287"/>
    </row>
    <row r="119" spans="1:7" ht="19.5" customHeight="1">
      <c r="A119" s="202"/>
      <c r="B119" s="96" t="s">
        <v>6</v>
      </c>
      <c r="C119" s="23"/>
      <c r="D119" s="116"/>
      <c r="E119" s="131"/>
      <c r="F119" s="287"/>
    </row>
    <row r="120" spans="1:7" ht="19.5" customHeight="1">
      <c r="A120" s="202"/>
      <c r="B120" s="97" t="s">
        <v>109</v>
      </c>
      <c r="C120" s="23" t="s">
        <v>8</v>
      </c>
      <c r="D120" s="116">
        <f>D112/45</f>
        <v>8.0297777777777775</v>
      </c>
      <c r="E120" s="131">
        <v>17000</v>
      </c>
      <c r="F120" s="287">
        <f>E120*D120</f>
        <v>136506.22222222222</v>
      </c>
    </row>
    <row r="121" spans="1:7" s="59" customFormat="1" ht="19.5" customHeight="1">
      <c r="A121" s="202"/>
      <c r="B121" s="97" t="s">
        <v>110</v>
      </c>
      <c r="C121" s="23" t="s">
        <v>8</v>
      </c>
      <c r="D121" s="116">
        <f>D120*2</f>
        <v>16.059555555555555</v>
      </c>
      <c r="E121" s="131">
        <v>8000</v>
      </c>
      <c r="F121" s="287">
        <f>E121*D121</f>
        <v>128476.44444444444</v>
      </c>
    </row>
    <row r="122" spans="1:7" ht="19.5" customHeight="1">
      <c r="A122" s="166"/>
      <c r="B122" s="96" t="s">
        <v>111</v>
      </c>
      <c r="C122" s="28"/>
      <c r="D122" s="120"/>
      <c r="E122" s="133"/>
      <c r="F122" s="288">
        <f>SUM(F120:F121)</f>
        <v>264982.66666666663</v>
      </c>
      <c r="G122" s="324"/>
    </row>
    <row r="123" spans="1:7" ht="19.5" customHeight="1">
      <c r="A123" s="166"/>
      <c r="B123" s="96"/>
      <c r="C123" s="28"/>
      <c r="D123" s="120"/>
      <c r="E123" s="133"/>
      <c r="F123" s="288"/>
    </row>
    <row r="124" spans="1:7" ht="19.5" customHeight="1">
      <c r="A124" s="168">
        <v>6</v>
      </c>
      <c r="B124" s="482" t="s">
        <v>101</v>
      </c>
      <c r="C124" s="482"/>
      <c r="D124" s="482"/>
      <c r="E124" s="482"/>
      <c r="F124" s="483"/>
    </row>
    <row r="125" spans="1:7" ht="19.5" customHeight="1">
      <c r="A125" s="197">
        <v>6.01</v>
      </c>
      <c r="B125" s="98" t="s">
        <v>102</v>
      </c>
      <c r="C125" s="69" t="s">
        <v>10</v>
      </c>
      <c r="D125" s="123">
        <f>(0.7*0.7*0.15)*10</f>
        <v>0.73499999999999988</v>
      </c>
      <c r="E125" s="136">
        <f>160230/D125</f>
        <v>218000.00000000003</v>
      </c>
      <c r="F125" s="289">
        <f>E125*D125</f>
        <v>160230</v>
      </c>
    </row>
    <row r="126" spans="1:7" s="59" customFormat="1" ht="19.5" customHeight="1">
      <c r="A126" s="204"/>
      <c r="B126" s="100" t="s">
        <v>2</v>
      </c>
      <c r="C126" s="56"/>
      <c r="D126" s="121"/>
      <c r="E126" s="134"/>
      <c r="F126" s="290"/>
    </row>
    <row r="127" spans="1:7" ht="19.5" customHeight="1">
      <c r="A127" s="204"/>
      <c r="B127" s="101" t="s">
        <v>99</v>
      </c>
      <c r="C127" s="56" t="s">
        <v>28</v>
      </c>
      <c r="D127" s="135">
        <f>D125*1.1</f>
        <v>0.80849999999999989</v>
      </c>
      <c r="E127" s="134">
        <v>180000</v>
      </c>
      <c r="F127" s="290">
        <f>E127*D127</f>
        <v>145529.99999999997</v>
      </c>
    </row>
    <row r="128" spans="1:7" ht="19.5" customHeight="1">
      <c r="A128" s="205"/>
      <c r="B128" s="100" t="s">
        <v>100</v>
      </c>
      <c r="C128" s="57"/>
      <c r="D128" s="122"/>
      <c r="E128" s="259"/>
      <c r="F128" s="291">
        <f>SUM(F127)</f>
        <v>145529.99999999997</v>
      </c>
    </row>
    <row r="129" spans="1:7" s="64" customFormat="1" ht="19.5" customHeight="1">
      <c r="A129" s="205"/>
      <c r="B129" s="100"/>
      <c r="C129" s="57"/>
      <c r="D129" s="122"/>
      <c r="E129" s="259"/>
      <c r="F129" s="291"/>
    </row>
    <row r="130" spans="1:7" ht="19.5" customHeight="1">
      <c r="A130" s="202"/>
      <c r="B130" s="96" t="s">
        <v>19</v>
      </c>
      <c r="C130" s="23"/>
      <c r="D130" s="116"/>
      <c r="E130" s="131"/>
      <c r="F130" s="287"/>
    </row>
    <row r="131" spans="1:7" ht="19.5" customHeight="1">
      <c r="A131" s="202"/>
      <c r="B131" s="97" t="s">
        <v>22</v>
      </c>
      <c r="C131" s="23" t="s">
        <v>21</v>
      </c>
      <c r="D131" s="116">
        <f>D125/6</f>
        <v>0.12249999999999998</v>
      </c>
      <c r="E131" s="131">
        <v>65000</v>
      </c>
      <c r="F131" s="287">
        <f>E131*D131</f>
        <v>7962.4999999999991</v>
      </c>
    </row>
    <row r="132" spans="1:7" ht="19.5" customHeight="1">
      <c r="A132" s="166"/>
      <c r="B132" s="96" t="s">
        <v>112</v>
      </c>
      <c r="C132" s="28"/>
      <c r="D132" s="119"/>
      <c r="E132" s="133"/>
      <c r="F132" s="288">
        <f>SUM(F131)</f>
        <v>7962.4999999999991</v>
      </c>
    </row>
    <row r="133" spans="1:7" ht="19.5" customHeight="1">
      <c r="A133" s="166"/>
      <c r="B133" s="96"/>
      <c r="C133" s="28"/>
      <c r="D133" s="119"/>
      <c r="E133" s="133"/>
      <c r="F133" s="288"/>
    </row>
    <row r="134" spans="1:7" ht="19.5" customHeight="1">
      <c r="A134" s="204"/>
      <c r="B134" s="101" t="s">
        <v>26</v>
      </c>
      <c r="C134" s="56" t="s">
        <v>21</v>
      </c>
      <c r="D134" s="135">
        <f>D131</f>
        <v>0.12249999999999998</v>
      </c>
      <c r="E134" s="134">
        <v>55000</v>
      </c>
      <c r="F134" s="290">
        <f>E134*D134</f>
        <v>6737.4999999999991</v>
      </c>
    </row>
    <row r="135" spans="1:7" ht="19.5" customHeight="1">
      <c r="A135" s="205"/>
      <c r="B135" s="100" t="s">
        <v>113</v>
      </c>
      <c r="C135" s="57"/>
      <c r="D135" s="122"/>
      <c r="E135" s="259"/>
      <c r="F135" s="291">
        <f>SUM(F134)</f>
        <v>6737.4999999999991</v>
      </c>
      <c r="G135" s="324"/>
    </row>
    <row r="136" spans="1:7" ht="19.5" customHeight="1">
      <c r="A136" s="197">
        <v>6.02</v>
      </c>
      <c r="B136" s="98" t="s">
        <v>103</v>
      </c>
      <c r="C136" s="69" t="s">
        <v>10</v>
      </c>
      <c r="D136" s="123">
        <f>(1*0.25*0.25)*10</f>
        <v>0.625</v>
      </c>
      <c r="E136" s="136">
        <f>139950/D136</f>
        <v>223920</v>
      </c>
      <c r="F136" s="289">
        <f>E136*D136</f>
        <v>139950</v>
      </c>
    </row>
    <row r="137" spans="1:7" ht="19.5" customHeight="1">
      <c r="A137" s="204"/>
      <c r="B137" s="100" t="s">
        <v>2</v>
      </c>
      <c r="C137" s="56"/>
      <c r="D137" s="121"/>
      <c r="E137" s="134"/>
      <c r="F137" s="290"/>
    </row>
    <row r="138" spans="1:7" s="59" customFormat="1" ht="19.5" customHeight="1">
      <c r="A138" s="204"/>
      <c r="B138" s="101" t="s">
        <v>99</v>
      </c>
      <c r="C138" s="56" t="s">
        <v>28</v>
      </c>
      <c r="D138" s="135">
        <f>D136*1.1</f>
        <v>0.6875</v>
      </c>
      <c r="E138" s="134">
        <v>200000</v>
      </c>
      <c r="F138" s="290">
        <f>E138*D138</f>
        <v>137500</v>
      </c>
    </row>
    <row r="139" spans="1:7" ht="19.5" customHeight="1">
      <c r="A139" s="205"/>
      <c r="B139" s="100" t="s">
        <v>100</v>
      </c>
      <c r="C139" s="57"/>
      <c r="D139" s="122"/>
      <c r="E139" s="259"/>
      <c r="F139" s="291">
        <f>SUM(F138)</f>
        <v>137500</v>
      </c>
    </row>
    <row r="140" spans="1:7" ht="19.5" customHeight="1">
      <c r="A140" s="205"/>
      <c r="B140" s="100"/>
      <c r="C140" s="57"/>
      <c r="D140" s="122"/>
      <c r="E140" s="259"/>
      <c r="F140" s="291"/>
    </row>
    <row r="141" spans="1:7" ht="19.5" customHeight="1">
      <c r="A141" s="202"/>
      <c r="B141" s="96" t="s">
        <v>19</v>
      </c>
      <c r="C141" s="23"/>
      <c r="D141" s="116"/>
      <c r="E141" s="131"/>
      <c r="F141" s="287"/>
    </row>
    <row r="142" spans="1:7" ht="19.5" customHeight="1">
      <c r="A142" s="202"/>
      <c r="B142" s="97" t="s">
        <v>22</v>
      </c>
      <c r="C142" s="23" t="s">
        <v>21</v>
      </c>
      <c r="D142" s="249">
        <f>D134/6</f>
        <v>2.0416666666666663E-2</v>
      </c>
      <c r="E142" s="131">
        <v>65000</v>
      </c>
      <c r="F142" s="287">
        <f>E142*D142</f>
        <v>1327.083333333333</v>
      </c>
    </row>
    <row r="143" spans="1:7" s="59" customFormat="1" ht="19.5" customHeight="1">
      <c r="A143" s="166"/>
      <c r="B143" s="96" t="s">
        <v>112</v>
      </c>
      <c r="C143" s="28"/>
      <c r="D143" s="119"/>
      <c r="E143" s="133"/>
      <c r="F143" s="288">
        <f>SUM(F142)</f>
        <v>1327.083333333333</v>
      </c>
    </row>
    <row r="144" spans="1:7" ht="19.5" customHeight="1">
      <c r="A144" s="166"/>
      <c r="B144" s="96"/>
      <c r="C144" s="28"/>
      <c r="D144" s="119"/>
      <c r="E144" s="133"/>
      <c r="F144" s="288"/>
    </row>
    <row r="145" spans="1:7" ht="19.5" customHeight="1">
      <c r="A145" s="204"/>
      <c r="B145" s="101" t="s">
        <v>26</v>
      </c>
      <c r="C145" s="56" t="s">
        <v>21</v>
      </c>
      <c r="D145" s="250">
        <f>D142</f>
        <v>2.0416666666666663E-2</v>
      </c>
      <c r="E145" s="134">
        <v>55000</v>
      </c>
      <c r="F145" s="290">
        <f>E145*D145</f>
        <v>1122.9166666666665</v>
      </c>
      <c r="G145" s="324"/>
    </row>
    <row r="146" spans="1:7" ht="19.5" customHeight="1">
      <c r="A146" s="205"/>
      <c r="B146" s="100" t="s">
        <v>113</v>
      </c>
      <c r="C146" s="57"/>
      <c r="D146" s="122"/>
      <c r="E146" s="259"/>
      <c r="F146" s="291">
        <f>SUM(F145)</f>
        <v>1122.9166666666665</v>
      </c>
      <c r="G146" s="324"/>
    </row>
    <row r="147" spans="1:7" s="66" customFormat="1" ht="19.5" customHeight="1">
      <c r="A147" s="197">
        <v>6.03</v>
      </c>
      <c r="B147" s="98" t="s">
        <v>104</v>
      </c>
      <c r="C147" s="69" t="s">
        <v>10</v>
      </c>
      <c r="D147" s="123">
        <f>(3*0.25*0.25)*10</f>
        <v>1.875</v>
      </c>
      <c r="E147" s="136">
        <f>553125/D147</f>
        <v>295000</v>
      </c>
      <c r="F147" s="289">
        <f>E147*D147</f>
        <v>553125</v>
      </c>
    </row>
    <row r="148" spans="1:7" ht="19.5" customHeight="1">
      <c r="A148" s="204"/>
      <c r="B148" s="100" t="s">
        <v>2</v>
      </c>
      <c r="C148" s="56"/>
      <c r="D148" s="145"/>
      <c r="E148" s="134"/>
      <c r="F148" s="290"/>
    </row>
    <row r="149" spans="1:7" ht="19.5" customHeight="1">
      <c r="A149" s="204"/>
      <c r="B149" s="101" t="s">
        <v>99</v>
      </c>
      <c r="C149" s="56" t="s">
        <v>28</v>
      </c>
      <c r="D149" s="135">
        <f>D147*1.1</f>
        <v>2.0625</v>
      </c>
      <c r="E149" s="134">
        <v>250000</v>
      </c>
      <c r="F149" s="290">
        <f>E149*D149</f>
        <v>515625</v>
      </c>
    </row>
    <row r="150" spans="1:7" ht="19.5" customHeight="1">
      <c r="A150" s="205"/>
      <c r="B150" s="100" t="s">
        <v>100</v>
      </c>
      <c r="C150" s="57"/>
      <c r="D150" s="122"/>
      <c r="E150" s="259"/>
      <c r="F150" s="291">
        <f>SUM(F149)</f>
        <v>515625</v>
      </c>
    </row>
    <row r="151" spans="1:7" ht="19.5" customHeight="1">
      <c r="A151" s="205"/>
      <c r="B151" s="100"/>
      <c r="C151" s="57"/>
      <c r="D151" s="122"/>
      <c r="E151" s="259"/>
      <c r="F151" s="291"/>
    </row>
    <row r="152" spans="1:7" ht="19.5" customHeight="1">
      <c r="A152" s="202"/>
      <c r="B152" s="96" t="s">
        <v>19</v>
      </c>
      <c r="C152" s="23"/>
      <c r="D152" s="116"/>
      <c r="E152" s="131"/>
      <c r="F152" s="287"/>
    </row>
    <row r="153" spans="1:7" ht="19.5" customHeight="1">
      <c r="A153" s="202"/>
      <c r="B153" s="97" t="s">
        <v>22</v>
      </c>
      <c r="C153" s="23" t="s">
        <v>21</v>
      </c>
      <c r="D153" s="116">
        <f>D147/6</f>
        <v>0.3125</v>
      </c>
      <c r="E153" s="131">
        <v>65000</v>
      </c>
      <c r="F153" s="287">
        <f>E153*D153</f>
        <v>20312.5</v>
      </c>
    </row>
    <row r="154" spans="1:7" s="59" customFormat="1" ht="19.5" customHeight="1">
      <c r="A154" s="166"/>
      <c r="B154" s="96" t="s">
        <v>112</v>
      </c>
      <c r="C154" s="28"/>
      <c r="D154" s="119"/>
      <c r="E154" s="133"/>
      <c r="F154" s="288">
        <f>SUM(F153)</f>
        <v>20312.5</v>
      </c>
    </row>
    <row r="155" spans="1:7" ht="19.5" customHeight="1">
      <c r="A155" s="166"/>
      <c r="B155" s="96"/>
      <c r="C155" s="28"/>
      <c r="D155" s="119"/>
      <c r="E155" s="133"/>
      <c r="F155" s="288"/>
    </row>
    <row r="156" spans="1:7" ht="19.5" customHeight="1">
      <c r="A156" s="204"/>
      <c r="B156" s="101" t="s">
        <v>26</v>
      </c>
      <c r="C156" s="56" t="s">
        <v>21</v>
      </c>
      <c r="D156" s="135">
        <f>D153</f>
        <v>0.3125</v>
      </c>
      <c r="E156" s="134">
        <v>55000</v>
      </c>
      <c r="F156" s="290">
        <f>E156*D156</f>
        <v>17187.5</v>
      </c>
    </row>
    <row r="157" spans="1:7" ht="19.5" customHeight="1">
      <c r="A157" s="205"/>
      <c r="B157" s="100" t="s">
        <v>113</v>
      </c>
      <c r="C157" s="57"/>
      <c r="D157" s="122"/>
      <c r="E157" s="259"/>
      <c r="F157" s="291">
        <f>SUM(F156)</f>
        <v>17187.5</v>
      </c>
      <c r="G157" s="324"/>
    </row>
    <row r="158" spans="1:7" ht="19.5" customHeight="1">
      <c r="A158" s="205"/>
      <c r="B158" s="100"/>
      <c r="C158" s="57"/>
      <c r="D158" s="122"/>
      <c r="E158" s="259"/>
      <c r="F158" s="291"/>
    </row>
    <row r="159" spans="1:7" s="63" customFormat="1" ht="19.5" customHeight="1">
      <c r="A159" s="168">
        <v>7</v>
      </c>
      <c r="B159" s="478" t="s">
        <v>73</v>
      </c>
      <c r="C159" s="478"/>
      <c r="D159" s="478"/>
      <c r="E159" s="478"/>
      <c r="F159" s="479"/>
    </row>
    <row r="160" spans="1:7" s="59" customFormat="1" ht="19.5" customHeight="1">
      <c r="A160" s="200">
        <v>7.01</v>
      </c>
      <c r="B160" s="16" t="s">
        <v>71</v>
      </c>
      <c r="C160" s="3" t="s">
        <v>28</v>
      </c>
      <c r="D160" s="115">
        <f>0.4*0.8*44</f>
        <v>14.080000000000002</v>
      </c>
      <c r="E160" s="132">
        <f>1385516/D160</f>
        <v>98403.124999999985</v>
      </c>
      <c r="F160" s="158">
        <f>D160*E160</f>
        <v>1385516</v>
      </c>
    </row>
    <row r="161" spans="1:7" ht="19.5" customHeight="1">
      <c r="A161" s="199"/>
      <c r="B161" s="8" t="s">
        <v>29</v>
      </c>
      <c r="C161" s="9"/>
      <c r="D161" s="211"/>
      <c r="E161" s="131"/>
      <c r="F161" s="153"/>
    </row>
    <row r="162" spans="1:7" ht="19.5" customHeight="1">
      <c r="A162" s="199"/>
      <c r="B162" s="13" t="s">
        <v>30</v>
      </c>
      <c r="C162" s="9" t="s">
        <v>28</v>
      </c>
      <c r="D162" s="131">
        <f>D160*(10/17)*1.57</f>
        <v>13.00329411764706</v>
      </c>
      <c r="E162" s="131">
        <v>33500</v>
      </c>
      <c r="F162" s="153">
        <f>E162*D162</f>
        <v>435610.3529411765</v>
      </c>
    </row>
    <row r="163" spans="1:7" ht="19.5" customHeight="1">
      <c r="A163" s="199"/>
      <c r="B163" s="13" t="s">
        <v>11</v>
      </c>
      <c r="C163" s="9" t="s">
        <v>31</v>
      </c>
      <c r="D163" s="116">
        <f>D160*(1/17)*1.57*(1440/50)</f>
        <v>37.449487058823536</v>
      </c>
      <c r="E163" s="131">
        <v>11200</v>
      </c>
      <c r="F163" s="153">
        <f t="shared" ref="F163:F164" si="7">E163*D163</f>
        <v>419434.25505882362</v>
      </c>
    </row>
    <row r="164" spans="1:7" ht="19.5" customHeight="1">
      <c r="A164" s="199"/>
      <c r="B164" s="13" t="s">
        <v>32</v>
      </c>
      <c r="C164" s="9" t="s">
        <v>28</v>
      </c>
      <c r="D164" s="116">
        <f>D160*(6/17)*1.57</f>
        <v>7.8019764705882375</v>
      </c>
      <c r="E164" s="131">
        <v>32500</v>
      </c>
      <c r="F164" s="153">
        <f t="shared" si="7"/>
        <v>253564.23529411771</v>
      </c>
    </row>
    <row r="165" spans="1:7" s="64" customFormat="1" ht="19.5" customHeight="1">
      <c r="A165" s="199"/>
      <c r="B165" s="8" t="s">
        <v>5</v>
      </c>
      <c r="C165" s="9"/>
      <c r="D165" s="131"/>
      <c r="E165" s="131"/>
      <c r="F165" s="160">
        <f>SUM(F162:F164)</f>
        <v>1108608.8432941178</v>
      </c>
    </row>
    <row r="166" spans="1:7" ht="19.5" customHeight="1">
      <c r="A166" s="199"/>
      <c r="B166" s="13"/>
      <c r="C166" s="9"/>
      <c r="D166" s="131"/>
      <c r="E166" s="131"/>
      <c r="F166" s="153"/>
    </row>
    <row r="167" spans="1:7" ht="19.5" customHeight="1">
      <c r="A167" s="198"/>
      <c r="B167" s="8" t="s">
        <v>33</v>
      </c>
      <c r="C167" s="9"/>
      <c r="D167" s="131"/>
      <c r="E167" s="131"/>
      <c r="F167" s="153"/>
    </row>
    <row r="168" spans="1:7" ht="19.5" customHeight="1">
      <c r="A168" s="198"/>
      <c r="B168" s="13" t="s">
        <v>34</v>
      </c>
      <c r="C168" s="9" t="s">
        <v>21</v>
      </c>
      <c r="D168" s="131">
        <f>D160/1.5</f>
        <v>9.3866666666666685</v>
      </c>
      <c r="E168" s="131">
        <v>12500</v>
      </c>
      <c r="F168" s="153">
        <f>E168*D168</f>
        <v>117333.33333333336</v>
      </c>
    </row>
    <row r="169" spans="1:7" ht="19.5" customHeight="1">
      <c r="A169" s="198"/>
      <c r="B169" s="13" t="s">
        <v>7</v>
      </c>
      <c r="C169" s="9" t="s">
        <v>21</v>
      </c>
      <c r="D169" s="131">
        <f>+D168*2</f>
        <v>18.773333333333337</v>
      </c>
      <c r="E169" s="131">
        <v>8500</v>
      </c>
      <c r="F169" s="153">
        <f>E169*D169</f>
        <v>159573.33333333337</v>
      </c>
    </row>
    <row r="170" spans="1:7" ht="19.5" customHeight="1">
      <c r="A170" s="166"/>
      <c r="B170" s="96" t="s">
        <v>9</v>
      </c>
      <c r="C170" s="28"/>
      <c r="D170" s="119"/>
      <c r="E170" s="133"/>
      <c r="F170" s="288">
        <f>SUM(F168:F169)</f>
        <v>276906.66666666674</v>
      </c>
      <c r="G170" s="324"/>
    </row>
    <row r="171" spans="1:7" ht="19.5" customHeight="1">
      <c r="A171" s="197">
        <v>8.01</v>
      </c>
      <c r="B171" s="16" t="s">
        <v>35</v>
      </c>
      <c r="C171" s="35" t="s">
        <v>36</v>
      </c>
      <c r="D171" s="123">
        <f>44*0.25</f>
        <v>11</v>
      </c>
      <c r="E171" s="136">
        <f>10780/D171</f>
        <v>980</v>
      </c>
      <c r="F171" s="151">
        <f>E171*D171</f>
        <v>10780</v>
      </c>
    </row>
    <row r="172" spans="1:7" ht="19.5" customHeight="1">
      <c r="A172" s="199"/>
      <c r="B172" s="8" t="s">
        <v>29</v>
      </c>
      <c r="C172" s="9"/>
      <c r="D172" s="131"/>
      <c r="E172" s="131"/>
      <c r="F172" s="153"/>
    </row>
    <row r="173" spans="1:7" ht="19.5" customHeight="1">
      <c r="A173" s="198"/>
      <c r="B173" s="13" t="s">
        <v>37</v>
      </c>
      <c r="C173" s="9" t="s">
        <v>38</v>
      </c>
      <c r="D173" s="131">
        <f>D171</f>
        <v>11</v>
      </c>
      <c r="E173" s="131">
        <v>500</v>
      </c>
      <c r="F173" s="153">
        <f>E173*D173</f>
        <v>5500</v>
      </c>
    </row>
    <row r="174" spans="1:7" ht="19.5" customHeight="1">
      <c r="A174" s="168"/>
      <c r="B174" s="8" t="s">
        <v>5</v>
      </c>
      <c r="C174" s="12"/>
      <c r="D174" s="133"/>
      <c r="E174" s="133"/>
      <c r="F174" s="160">
        <f>SUM(F173)</f>
        <v>5500</v>
      </c>
    </row>
    <row r="175" spans="1:7" s="59" customFormat="1" ht="19.5" customHeight="1">
      <c r="A175" s="198"/>
      <c r="B175" s="13"/>
      <c r="C175" s="9"/>
      <c r="D175" s="131"/>
      <c r="E175" s="131"/>
      <c r="F175" s="153"/>
    </row>
    <row r="176" spans="1:7" ht="19.5" customHeight="1">
      <c r="A176" s="233"/>
      <c r="B176" s="8" t="s">
        <v>33</v>
      </c>
      <c r="C176" s="9"/>
      <c r="D176" s="131"/>
      <c r="E176" s="131"/>
      <c r="F176" s="153"/>
    </row>
    <row r="177" spans="1:7" ht="19.5" customHeight="1">
      <c r="A177" s="198"/>
      <c r="B177" s="13" t="s">
        <v>34</v>
      </c>
      <c r="C177" s="9" t="s">
        <v>21</v>
      </c>
      <c r="D177" s="116">
        <f>D171/100</f>
        <v>0.11</v>
      </c>
      <c r="E177" s="131">
        <v>18000</v>
      </c>
      <c r="F177" s="153">
        <f>E177*D177</f>
        <v>1980</v>
      </c>
    </row>
    <row r="178" spans="1:7" ht="19.5" customHeight="1">
      <c r="A178" s="198"/>
      <c r="B178" s="13" t="s">
        <v>7</v>
      </c>
      <c r="C178" s="9" t="s">
        <v>21</v>
      </c>
      <c r="D178" s="116">
        <f>+D177*2</f>
        <v>0.22</v>
      </c>
      <c r="E178" s="131">
        <v>15000</v>
      </c>
      <c r="F178" s="153">
        <f>E178*D178</f>
        <v>3300</v>
      </c>
    </row>
    <row r="179" spans="1:7" ht="19.5" customHeight="1">
      <c r="A179" s="168"/>
      <c r="B179" s="8" t="s">
        <v>39</v>
      </c>
      <c r="C179" s="12"/>
      <c r="D179" s="133"/>
      <c r="E179" s="133"/>
      <c r="F179" s="160">
        <f>SUM(F177:F178)</f>
        <v>5280</v>
      </c>
      <c r="G179" s="324"/>
    </row>
    <row r="180" spans="1:7" ht="19.5" customHeight="1">
      <c r="A180" s="168"/>
      <c r="B180" s="8"/>
      <c r="C180" s="12"/>
      <c r="D180" s="133"/>
      <c r="E180" s="133"/>
      <c r="F180" s="160"/>
    </row>
    <row r="181" spans="1:7" s="90" customFormat="1" ht="19.5" customHeight="1">
      <c r="A181" s="166">
        <v>9</v>
      </c>
      <c r="B181" s="480" t="s">
        <v>72</v>
      </c>
      <c r="C181" s="480"/>
      <c r="D181" s="480"/>
      <c r="E181" s="480"/>
      <c r="F181" s="481"/>
    </row>
    <row r="182" spans="1:7" s="59" customFormat="1" ht="19.5" customHeight="1">
      <c r="A182" s="197">
        <v>9.01</v>
      </c>
      <c r="B182" s="16" t="s">
        <v>40</v>
      </c>
      <c r="C182" s="3" t="s">
        <v>1</v>
      </c>
      <c r="D182" s="273">
        <f>(44*3)-((0.9*2.1*2)+(1*1.5*2))</f>
        <v>125.22</v>
      </c>
      <c r="E182" s="132">
        <f>2193848/D182</f>
        <v>17519.948889953681</v>
      </c>
      <c r="F182" s="158">
        <f>E182*D182</f>
        <v>2193848</v>
      </c>
    </row>
    <row r="183" spans="1:7" ht="19.5" customHeight="1">
      <c r="A183" s="201"/>
      <c r="B183" s="102"/>
      <c r="C183" s="20" t="s">
        <v>28</v>
      </c>
      <c r="D183" s="250">
        <f>D182*0.2</f>
        <v>25.044</v>
      </c>
      <c r="E183" s="465"/>
      <c r="F183" s="163"/>
    </row>
    <row r="184" spans="1:7" ht="19.5" customHeight="1">
      <c r="A184" s="198"/>
      <c r="B184" s="8" t="s">
        <v>2</v>
      </c>
      <c r="C184" s="9"/>
      <c r="D184" s="131"/>
      <c r="E184" s="131"/>
      <c r="F184" s="153"/>
    </row>
    <row r="185" spans="1:7" ht="19.5" customHeight="1">
      <c r="A185" s="198"/>
      <c r="B185" s="48" t="s">
        <v>41</v>
      </c>
      <c r="C185" s="9" t="s">
        <v>31</v>
      </c>
      <c r="D185" s="116">
        <f>D183*0.2439*(1/7)*1.54*(1440/50)</f>
        <v>38.701755417599998</v>
      </c>
      <c r="E185" s="131">
        <v>11200</v>
      </c>
      <c r="F185" s="153">
        <f>E185*D185</f>
        <v>433459.66067711997</v>
      </c>
    </row>
    <row r="186" spans="1:7" ht="19.5" customHeight="1">
      <c r="A186" s="198"/>
      <c r="B186" s="48" t="s">
        <v>42</v>
      </c>
      <c r="C186" s="9" t="s">
        <v>28</v>
      </c>
      <c r="D186" s="116">
        <f>D183*0.2439*(6/7)*1.54</f>
        <v>8.0628657120000007</v>
      </c>
      <c r="E186" s="131">
        <v>30500</v>
      </c>
      <c r="F186" s="153">
        <f t="shared" ref="F186:F187" si="8">E186*D186</f>
        <v>245917.40421600002</v>
      </c>
    </row>
    <row r="187" spans="1:7" ht="19.5" customHeight="1">
      <c r="A187" s="198"/>
      <c r="B187" s="48" t="s">
        <v>43</v>
      </c>
      <c r="C187" s="9" t="s">
        <v>44</v>
      </c>
      <c r="D187" s="116">
        <f>D183*1.15/(0.235*0.1125*0.075)</f>
        <v>14525.125295508276</v>
      </c>
      <c r="E187" s="131">
        <v>58</v>
      </c>
      <c r="F187" s="153">
        <f t="shared" si="8"/>
        <v>842457.26713947998</v>
      </c>
    </row>
    <row r="188" spans="1:7" ht="19.5" customHeight="1">
      <c r="A188" s="168"/>
      <c r="B188" s="60" t="s">
        <v>5</v>
      </c>
      <c r="C188" s="12"/>
      <c r="D188" s="119"/>
      <c r="E188" s="133"/>
      <c r="F188" s="160">
        <f>SUM(F185:F187)</f>
        <v>1521834.3320326</v>
      </c>
      <c r="G188" s="324"/>
    </row>
    <row r="189" spans="1:7" ht="19.5" customHeight="1">
      <c r="A189" s="198"/>
      <c r="B189" s="48"/>
      <c r="C189" s="9"/>
      <c r="D189" s="116"/>
      <c r="E189" s="131"/>
      <c r="F189" s="153"/>
    </row>
    <row r="190" spans="1:7" ht="19.5" customHeight="1">
      <c r="A190" s="198"/>
      <c r="B190" s="8" t="s">
        <v>6</v>
      </c>
      <c r="C190" s="9"/>
      <c r="D190" s="131"/>
      <c r="E190" s="131"/>
      <c r="F190" s="153"/>
    </row>
    <row r="191" spans="1:7" ht="19.5" customHeight="1">
      <c r="A191" s="198"/>
      <c r="B191" s="13" t="s">
        <v>34</v>
      </c>
      <c r="C191" s="9" t="s">
        <v>8</v>
      </c>
      <c r="D191" s="131">
        <f>D183/1</f>
        <v>25.044</v>
      </c>
      <c r="E191" s="131">
        <v>8500</v>
      </c>
      <c r="F191" s="153">
        <f>E191*D191</f>
        <v>212874</v>
      </c>
    </row>
    <row r="192" spans="1:7" ht="19.5" customHeight="1">
      <c r="A192" s="198"/>
      <c r="B192" s="13" t="s">
        <v>7</v>
      </c>
      <c r="C192" s="9" t="s">
        <v>8</v>
      </c>
      <c r="D192" s="116">
        <f>(D183/1.2)*4</f>
        <v>83.48</v>
      </c>
      <c r="E192" s="131">
        <v>5500</v>
      </c>
      <c r="F192" s="153">
        <f>E192*D192</f>
        <v>459140</v>
      </c>
    </row>
    <row r="193" spans="1:7" ht="19.5" customHeight="1">
      <c r="A193" s="172"/>
      <c r="B193" s="60" t="s">
        <v>9</v>
      </c>
      <c r="C193" s="61"/>
      <c r="D193" s="14"/>
      <c r="E193" s="275"/>
      <c r="F193" s="285">
        <f>SUM(F191:F192)</f>
        <v>672014</v>
      </c>
      <c r="G193" s="324"/>
    </row>
    <row r="194" spans="1:7" ht="19.5" customHeight="1">
      <c r="A194" s="172"/>
      <c r="B194" s="60"/>
      <c r="C194" s="61"/>
      <c r="D194" s="14"/>
      <c r="E194" s="275"/>
      <c r="F194" s="285"/>
    </row>
    <row r="195" spans="1:7" s="63" customFormat="1" ht="19.5" customHeight="1">
      <c r="A195" s="172">
        <v>10</v>
      </c>
      <c r="B195" s="476" t="s">
        <v>79</v>
      </c>
      <c r="C195" s="476"/>
      <c r="D195" s="476"/>
      <c r="E195" s="476"/>
      <c r="F195" s="477"/>
    </row>
    <row r="196" spans="1:7" ht="19.5" customHeight="1">
      <c r="A196" s="197">
        <v>10.01</v>
      </c>
      <c r="B196" s="2" t="s">
        <v>74</v>
      </c>
      <c r="C196" s="15" t="s">
        <v>45</v>
      </c>
      <c r="D196" s="254">
        <f>10*0.25*0.2</f>
        <v>0.5</v>
      </c>
      <c r="E196" s="277">
        <f>88339/D196</f>
        <v>176678</v>
      </c>
      <c r="F196" s="158">
        <f>E196*D196</f>
        <v>88339</v>
      </c>
    </row>
    <row r="197" spans="1:7" ht="19.5" customHeight="1">
      <c r="A197" s="233"/>
      <c r="B197" s="175" t="s">
        <v>29</v>
      </c>
      <c r="C197" s="176"/>
      <c r="D197" s="251"/>
      <c r="E197" s="178"/>
      <c r="F197" s="179"/>
    </row>
    <row r="198" spans="1:7" ht="19.5">
      <c r="A198" s="233"/>
      <c r="B198" s="180" t="s">
        <v>14</v>
      </c>
      <c r="C198" s="18" t="s">
        <v>45</v>
      </c>
      <c r="D198" s="251">
        <f>D196*(4/7)*1.57</f>
        <v>0.44857142857142857</v>
      </c>
      <c r="E198" s="178">
        <v>48000</v>
      </c>
      <c r="F198" s="179">
        <f>E198*D198</f>
        <v>21531.428571428572</v>
      </c>
    </row>
    <row r="199" spans="1:7" ht="19.5">
      <c r="A199" s="233"/>
      <c r="B199" s="180" t="s">
        <v>13</v>
      </c>
      <c r="C199" s="18" t="s">
        <v>45</v>
      </c>
      <c r="D199" s="251">
        <f>D196*(2/7)*1.54</f>
        <v>0.22</v>
      </c>
      <c r="E199" s="178">
        <v>36500</v>
      </c>
      <c r="F199" s="179">
        <f t="shared" ref="F199:F202" si="9">E199*D199</f>
        <v>8030</v>
      </c>
    </row>
    <row r="200" spans="1:7" ht="19.5">
      <c r="A200" s="233"/>
      <c r="B200" s="180" t="s">
        <v>11</v>
      </c>
      <c r="C200" s="176" t="s">
        <v>12</v>
      </c>
      <c r="D200" s="251">
        <f>D196*(1/7)*1.57*(1440/50)</f>
        <v>3.2297142857142855</v>
      </c>
      <c r="E200" s="178">
        <v>11200</v>
      </c>
      <c r="F200" s="179">
        <f t="shared" si="9"/>
        <v>36172.799999999996</v>
      </c>
    </row>
    <row r="201" spans="1:7" ht="19.5">
      <c r="A201" s="204"/>
      <c r="B201" s="101" t="s">
        <v>15</v>
      </c>
      <c r="C201" s="56" t="s">
        <v>16</v>
      </c>
      <c r="D201" s="135">
        <f>D206*10</f>
        <v>0.83333333333333326</v>
      </c>
      <c r="E201" s="134">
        <v>2200</v>
      </c>
      <c r="F201" s="179">
        <f t="shared" si="9"/>
        <v>1833.3333333333333</v>
      </c>
    </row>
    <row r="202" spans="1:7" ht="19.5">
      <c r="A202" s="204"/>
      <c r="B202" s="101" t="s">
        <v>17</v>
      </c>
      <c r="C202" s="56" t="s">
        <v>16</v>
      </c>
      <c r="D202" s="135">
        <f>D207*5</f>
        <v>0.41666666666666663</v>
      </c>
      <c r="E202" s="134">
        <v>1900</v>
      </c>
      <c r="F202" s="179">
        <f t="shared" si="9"/>
        <v>791.66666666666663</v>
      </c>
    </row>
    <row r="203" spans="1:7" ht="19.5">
      <c r="A203" s="233"/>
      <c r="B203" s="175" t="s">
        <v>5</v>
      </c>
      <c r="C203" s="176"/>
      <c r="D203" s="251"/>
      <c r="E203" s="178"/>
      <c r="F203" s="292">
        <f>SUM(F198:F202)</f>
        <v>68359.228571428568</v>
      </c>
    </row>
    <row r="204" spans="1:7" ht="19.5">
      <c r="A204" s="233"/>
      <c r="B204" s="180"/>
      <c r="C204" s="176"/>
      <c r="D204" s="251"/>
      <c r="E204" s="178"/>
      <c r="F204" s="179"/>
    </row>
    <row r="205" spans="1:7" ht="19.5">
      <c r="A205" s="204"/>
      <c r="B205" s="100" t="s">
        <v>19</v>
      </c>
      <c r="C205" s="56"/>
      <c r="D205" s="135"/>
      <c r="E205" s="134"/>
      <c r="F205" s="290"/>
    </row>
    <row r="206" spans="1:7" ht="19.5">
      <c r="A206" s="204"/>
      <c r="B206" s="101" t="s">
        <v>20</v>
      </c>
      <c r="C206" s="56" t="s">
        <v>21</v>
      </c>
      <c r="D206" s="135">
        <f>D196/6</f>
        <v>8.3333333333333329E-2</v>
      </c>
      <c r="E206" s="134">
        <v>65000</v>
      </c>
      <c r="F206" s="290">
        <f>E206*D206</f>
        <v>5416.6666666666661</v>
      </c>
    </row>
    <row r="207" spans="1:7" ht="19.5">
      <c r="A207" s="204"/>
      <c r="B207" s="101" t="s">
        <v>22</v>
      </c>
      <c r="C207" s="56" t="s">
        <v>21</v>
      </c>
      <c r="D207" s="135">
        <f>D196/6</f>
        <v>8.3333333333333329E-2</v>
      </c>
      <c r="E207" s="134">
        <v>65000</v>
      </c>
      <c r="F207" s="290">
        <f>E207*D207</f>
        <v>5416.6666666666661</v>
      </c>
    </row>
    <row r="208" spans="1:7" ht="19.5">
      <c r="A208" s="205"/>
      <c r="B208" s="100" t="s">
        <v>23</v>
      </c>
      <c r="C208" s="57"/>
      <c r="D208" s="122"/>
      <c r="E208" s="259"/>
      <c r="F208" s="291">
        <f>SUM(F206:F207)</f>
        <v>10833.333333333332</v>
      </c>
    </row>
    <row r="209" spans="1:7" ht="19.5">
      <c r="A209" s="205"/>
      <c r="B209" s="100"/>
      <c r="C209" s="57"/>
      <c r="D209" s="122"/>
      <c r="E209" s="259"/>
      <c r="F209" s="291"/>
    </row>
    <row r="210" spans="1:7" ht="19.5">
      <c r="A210" s="236"/>
      <c r="B210" s="175" t="s">
        <v>33</v>
      </c>
      <c r="C210" s="176"/>
      <c r="D210" s="251"/>
      <c r="E210" s="178"/>
      <c r="F210" s="179"/>
    </row>
    <row r="211" spans="1:7" ht="19.5">
      <c r="A211" s="236"/>
      <c r="B211" s="180" t="s">
        <v>34</v>
      </c>
      <c r="C211" s="176" t="s">
        <v>21</v>
      </c>
      <c r="D211" s="251">
        <f>D196/1.64</f>
        <v>0.3048780487804878</v>
      </c>
      <c r="E211" s="131">
        <v>11000</v>
      </c>
      <c r="F211" s="179">
        <f>E211*D211</f>
        <v>3353.6585365853657</v>
      </c>
    </row>
    <row r="212" spans="1:7" ht="19.5">
      <c r="A212" s="236"/>
      <c r="B212" s="180" t="s">
        <v>7</v>
      </c>
      <c r="C212" s="176" t="s">
        <v>21</v>
      </c>
      <c r="D212" s="251">
        <f>+D211*2</f>
        <v>0.6097560975609756</v>
      </c>
      <c r="E212" s="131">
        <v>9500</v>
      </c>
      <c r="F212" s="179">
        <f>E212*D212</f>
        <v>5792.6829268292686</v>
      </c>
    </row>
    <row r="213" spans="1:7" ht="19.5">
      <c r="A213" s="205"/>
      <c r="B213" s="100" t="s">
        <v>78</v>
      </c>
      <c r="C213" s="57"/>
      <c r="D213" s="122"/>
      <c r="E213" s="259"/>
      <c r="F213" s="291">
        <f>SUM(F211:F212)</f>
        <v>9146.3414634146338</v>
      </c>
      <c r="G213" s="324"/>
    </row>
    <row r="214" spans="1:7" ht="19.5">
      <c r="A214" s="236"/>
      <c r="B214" s="180"/>
      <c r="C214" s="176"/>
      <c r="D214" s="251"/>
      <c r="E214" s="178"/>
      <c r="F214" s="179"/>
    </row>
    <row r="215" spans="1:7" s="63" customFormat="1" ht="19.5">
      <c r="A215" s="186">
        <v>11</v>
      </c>
      <c r="B215" s="484" t="s">
        <v>76</v>
      </c>
      <c r="C215" s="484"/>
      <c r="D215" s="484"/>
      <c r="E215" s="484"/>
      <c r="F215" s="485"/>
    </row>
    <row r="216" spans="1:7" ht="19.5">
      <c r="A216" s="197">
        <v>11.01</v>
      </c>
      <c r="B216" s="98" t="s">
        <v>75</v>
      </c>
      <c r="C216" s="41" t="s">
        <v>36</v>
      </c>
      <c r="D216" s="115">
        <f>78+52</f>
        <v>130</v>
      </c>
      <c r="E216" s="132">
        <f>1376583/D216</f>
        <v>10589.1</v>
      </c>
      <c r="F216" s="293">
        <f>E216*D216</f>
        <v>1376583</v>
      </c>
    </row>
    <row r="217" spans="1:7" ht="19.5">
      <c r="A217" s="201"/>
      <c r="B217" s="19"/>
      <c r="C217" s="20"/>
      <c r="D217" s="135">
        <f>D216*0.05</f>
        <v>6.5</v>
      </c>
      <c r="E217" s="134"/>
      <c r="F217" s="163"/>
    </row>
    <row r="218" spans="1:7" ht="19.5">
      <c r="A218" s="202"/>
      <c r="B218" s="96" t="s">
        <v>2</v>
      </c>
      <c r="C218" s="23"/>
      <c r="D218" s="116"/>
      <c r="E218" s="131"/>
      <c r="F218" s="287"/>
    </row>
    <row r="219" spans="1:7" ht="19.5">
      <c r="A219" s="199"/>
      <c r="B219" s="13" t="s">
        <v>30</v>
      </c>
      <c r="C219" s="9" t="s">
        <v>28</v>
      </c>
      <c r="D219" s="131">
        <f>D216*0.1*1.5</f>
        <v>19.5</v>
      </c>
      <c r="E219" s="131">
        <v>22500</v>
      </c>
      <c r="F219" s="153">
        <f>E219*D219</f>
        <v>438750</v>
      </c>
    </row>
    <row r="220" spans="1:7" ht="19.5">
      <c r="A220" s="202"/>
      <c r="B220" s="97" t="s">
        <v>11</v>
      </c>
      <c r="C220" s="23" t="s">
        <v>12</v>
      </c>
      <c r="D220" s="131">
        <f>D217*(1/13)*1.57*(1440/50)</f>
        <v>22.608000000000001</v>
      </c>
      <c r="E220" s="131">
        <v>11200</v>
      </c>
      <c r="F220" s="153">
        <f t="shared" ref="F220:F222" si="10">E220*D220</f>
        <v>253209.60000000001</v>
      </c>
    </row>
    <row r="221" spans="1:7" ht="19.5">
      <c r="A221" s="202"/>
      <c r="B221" s="97" t="s">
        <v>13</v>
      </c>
      <c r="C221" s="23" t="s">
        <v>10</v>
      </c>
      <c r="D221" s="131">
        <f>D217*(4/13)*1.57</f>
        <v>3.14</v>
      </c>
      <c r="E221" s="131">
        <v>36500</v>
      </c>
      <c r="F221" s="153">
        <f t="shared" si="10"/>
        <v>114610</v>
      </c>
      <c r="G221" s="324"/>
    </row>
    <row r="222" spans="1:7" ht="19.5">
      <c r="A222" s="202"/>
      <c r="B222" s="97" t="s">
        <v>14</v>
      </c>
      <c r="C222" s="23" t="s">
        <v>10</v>
      </c>
      <c r="D222" s="131">
        <f>D217*(8/13)*1.57</f>
        <v>6.28</v>
      </c>
      <c r="E222" s="131">
        <v>43500</v>
      </c>
      <c r="F222" s="153">
        <f t="shared" si="10"/>
        <v>273180</v>
      </c>
      <c r="G222" s="467"/>
    </row>
    <row r="223" spans="1:7" ht="19.5">
      <c r="A223" s="166"/>
      <c r="B223" s="96" t="s">
        <v>115</v>
      </c>
      <c r="C223" s="28"/>
      <c r="D223" s="119"/>
      <c r="E223" s="131"/>
      <c r="F223" s="288">
        <f>SUM(F219:F222)</f>
        <v>1079749.6000000001</v>
      </c>
      <c r="G223" s="324"/>
    </row>
    <row r="224" spans="1:7" ht="19.5">
      <c r="A224" s="166"/>
      <c r="B224" s="96"/>
      <c r="C224" s="28"/>
      <c r="D224" s="119"/>
      <c r="E224" s="131"/>
      <c r="F224" s="288"/>
    </row>
    <row r="225" spans="1:8" ht="19.5">
      <c r="A225" s="204"/>
      <c r="B225" s="100" t="s">
        <v>19</v>
      </c>
      <c r="C225" s="56"/>
      <c r="D225" s="135"/>
      <c r="F225" s="290"/>
    </row>
    <row r="226" spans="1:8" ht="19.5">
      <c r="A226" s="204"/>
      <c r="B226" s="101" t="s">
        <v>20</v>
      </c>
      <c r="C226" s="56" t="s">
        <v>21</v>
      </c>
      <c r="D226" s="135">
        <f>D217/6</f>
        <v>1.0833333333333333</v>
      </c>
      <c r="E226" s="131">
        <v>18500</v>
      </c>
      <c r="F226" s="290">
        <f>E226*D226</f>
        <v>20041.666666666664</v>
      </c>
    </row>
    <row r="227" spans="1:8" ht="19.5">
      <c r="A227" s="204"/>
      <c r="B227" s="101" t="s">
        <v>22</v>
      </c>
      <c r="C227" s="56" t="s">
        <v>21</v>
      </c>
      <c r="D227" s="135">
        <f>D217/6</f>
        <v>1.0833333333333333</v>
      </c>
      <c r="E227" s="131">
        <v>11500</v>
      </c>
      <c r="F227" s="290">
        <f>E227*D227</f>
        <v>12458.333333333332</v>
      </c>
    </row>
    <row r="228" spans="1:8" s="53" customFormat="1" ht="19.5">
      <c r="A228" s="205"/>
      <c r="B228" s="100" t="s">
        <v>112</v>
      </c>
      <c r="C228" s="57"/>
      <c r="D228" s="122"/>
      <c r="E228" s="259"/>
      <c r="F228" s="291">
        <f>SUM(F226:F227)</f>
        <v>32499.999999999996</v>
      </c>
      <c r="G228" s="468"/>
    </row>
    <row r="229" spans="1:8" ht="19.5">
      <c r="A229" s="202"/>
      <c r="B229" s="97"/>
      <c r="C229" s="23"/>
      <c r="D229" s="116"/>
      <c r="E229" s="131"/>
      <c r="F229" s="287"/>
    </row>
    <row r="230" spans="1:8" ht="19.5">
      <c r="A230" s="202"/>
      <c r="B230" s="96" t="s">
        <v>6</v>
      </c>
      <c r="C230" s="23"/>
      <c r="D230" s="116"/>
      <c r="E230" s="131"/>
      <c r="F230" s="287"/>
    </row>
    <row r="231" spans="1:8" ht="19.5">
      <c r="A231" s="202"/>
      <c r="B231" s="97" t="s">
        <v>24</v>
      </c>
      <c r="C231" s="23" t="s">
        <v>21</v>
      </c>
      <c r="D231" s="116">
        <f>(D217/6)*2</f>
        <v>2.1666666666666665</v>
      </c>
      <c r="E231" s="131">
        <v>18500</v>
      </c>
      <c r="F231" s="287">
        <f>E231*D231</f>
        <v>40083.333333333328</v>
      </c>
    </row>
    <row r="232" spans="1:8" ht="19.5">
      <c r="A232" s="202"/>
      <c r="B232" s="97" t="s">
        <v>25</v>
      </c>
      <c r="C232" s="23" t="s">
        <v>21</v>
      </c>
      <c r="D232" s="116">
        <f>(D217/6)*18</f>
        <v>19.5</v>
      </c>
      <c r="E232" s="131">
        <v>11500</v>
      </c>
      <c r="F232" s="287">
        <f>E232*D232</f>
        <v>224250</v>
      </c>
    </row>
    <row r="233" spans="1:8" ht="19.5">
      <c r="A233" s="166"/>
      <c r="B233" s="96" t="s">
        <v>113</v>
      </c>
      <c r="C233" s="28"/>
      <c r="D233" s="119"/>
      <c r="E233" s="133"/>
      <c r="F233" s="288">
        <f>SUM(F231:F232)</f>
        <v>264333.33333333331</v>
      </c>
      <c r="G233" s="324"/>
    </row>
    <row r="234" spans="1:8" ht="19.5">
      <c r="A234" s="202"/>
      <c r="B234" s="97"/>
      <c r="C234" s="23"/>
      <c r="D234" s="116"/>
      <c r="E234" s="131"/>
      <c r="F234" s="287"/>
    </row>
    <row r="235" spans="1:8" ht="19.5">
      <c r="A235" s="197">
        <v>12.01</v>
      </c>
      <c r="B235" s="2" t="s">
        <v>80</v>
      </c>
      <c r="C235" s="65" t="s">
        <v>47</v>
      </c>
      <c r="D235" s="212">
        <f>78+52</f>
        <v>130</v>
      </c>
      <c r="E235" s="278">
        <f>811457/D235</f>
        <v>6241.9769230769234</v>
      </c>
      <c r="F235" s="151">
        <f>E235*D235</f>
        <v>811457</v>
      </c>
    </row>
    <row r="236" spans="1:8" ht="19.5">
      <c r="A236" s="199"/>
      <c r="B236" s="60" t="s">
        <v>2</v>
      </c>
      <c r="C236" s="44"/>
      <c r="D236" s="138"/>
      <c r="E236" s="279"/>
      <c r="F236" s="153"/>
    </row>
    <row r="237" spans="1:8" ht="19.5">
      <c r="A237" s="199"/>
      <c r="B237" s="48" t="s">
        <v>11</v>
      </c>
      <c r="C237" s="44" t="s">
        <v>12</v>
      </c>
      <c r="D237" s="138">
        <f>D235*(1/6)*0.032*(1440/50)*1.54</f>
        <v>30.750719999999994</v>
      </c>
      <c r="E237" s="279">
        <v>11200</v>
      </c>
      <c r="F237" s="153">
        <f>E237*D237</f>
        <v>344408.06399999995</v>
      </c>
      <c r="G237" s="467"/>
    </row>
    <row r="238" spans="1:8" ht="19.5">
      <c r="A238" s="199"/>
      <c r="B238" s="48" t="s">
        <v>13</v>
      </c>
      <c r="C238" s="44" t="s">
        <v>10</v>
      </c>
      <c r="D238" s="138">
        <f>D235*(5/6)*0.032*1.54</f>
        <v>5.3386666666666676</v>
      </c>
      <c r="E238" s="279">
        <v>36500</v>
      </c>
      <c r="F238" s="153">
        <f>E238*D238</f>
        <v>194861.33333333337</v>
      </c>
    </row>
    <row r="239" spans="1:8" ht="19.5">
      <c r="A239" s="205"/>
      <c r="B239" s="100" t="s">
        <v>5</v>
      </c>
      <c r="C239" s="57"/>
      <c r="D239" s="122"/>
      <c r="E239" s="259"/>
      <c r="F239" s="291">
        <f>SUM(F237:F238)</f>
        <v>539269.39733333327</v>
      </c>
      <c r="H239" s="67"/>
    </row>
    <row r="240" spans="1:8" ht="19.5">
      <c r="A240" s="202"/>
      <c r="B240" s="97"/>
      <c r="C240" s="23"/>
      <c r="D240" s="116"/>
      <c r="E240" s="131"/>
      <c r="F240" s="287"/>
    </row>
    <row r="241" spans="1:7" ht="19.5">
      <c r="A241" s="202"/>
      <c r="B241" s="96" t="s">
        <v>6</v>
      </c>
      <c r="C241" s="23"/>
      <c r="D241" s="116"/>
      <c r="E241" s="131"/>
      <c r="F241" s="287"/>
    </row>
    <row r="242" spans="1:7" ht="19.5">
      <c r="A242" s="202"/>
      <c r="B242" s="97" t="s">
        <v>34</v>
      </c>
      <c r="C242" s="23" t="s">
        <v>8</v>
      </c>
      <c r="D242" s="116">
        <f>D235/16</f>
        <v>8.125</v>
      </c>
      <c r="E242" s="131">
        <v>14500</v>
      </c>
      <c r="F242" s="287">
        <f>E242*D242</f>
        <v>117812.5</v>
      </c>
    </row>
    <row r="243" spans="1:7" ht="19.5">
      <c r="A243" s="202"/>
      <c r="B243" s="97" t="s">
        <v>7</v>
      </c>
      <c r="C243" s="23" t="s">
        <v>8</v>
      </c>
      <c r="D243" s="116">
        <f>D242*2</f>
        <v>16.25</v>
      </c>
      <c r="E243" s="131">
        <v>9500</v>
      </c>
      <c r="F243" s="287">
        <f>E243*D243</f>
        <v>154375</v>
      </c>
    </row>
    <row r="244" spans="1:7" ht="19.5">
      <c r="A244" s="166"/>
      <c r="B244" s="96" t="s">
        <v>9</v>
      </c>
      <c r="C244" s="28"/>
      <c r="D244" s="119"/>
      <c r="E244" s="133"/>
      <c r="F244" s="288">
        <f>SUM(F242:F243)</f>
        <v>272187.5</v>
      </c>
      <c r="G244" s="324"/>
    </row>
    <row r="245" spans="1:7" ht="19.5">
      <c r="A245" s="166"/>
      <c r="B245" s="96"/>
      <c r="C245" s="28"/>
      <c r="D245" s="119"/>
      <c r="E245" s="133"/>
      <c r="F245" s="288"/>
    </row>
    <row r="246" spans="1:7" s="90" customFormat="1" ht="19.5">
      <c r="A246" s="166">
        <v>13</v>
      </c>
      <c r="B246" s="480" t="s">
        <v>81</v>
      </c>
      <c r="C246" s="480"/>
      <c r="D246" s="480"/>
      <c r="E246" s="480"/>
      <c r="F246" s="481"/>
    </row>
    <row r="247" spans="1:7" ht="19.5">
      <c r="A247" s="203">
        <v>13.01</v>
      </c>
      <c r="B247" s="16" t="s">
        <v>49</v>
      </c>
      <c r="C247" s="35" t="s">
        <v>50</v>
      </c>
      <c r="D247" s="123">
        <f>(38*3)-(7.56+10.6)</f>
        <v>95.84</v>
      </c>
      <c r="E247" s="136">
        <f>(F256+F251)/D247</f>
        <v>3324.7471999999998</v>
      </c>
      <c r="F247" s="151">
        <f>E247*D247</f>
        <v>318643.77164799999</v>
      </c>
    </row>
    <row r="248" spans="1:7" ht="19.5">
      <c r="A248" s="202"/>
      <c r="B248" s="60" t="s">
        <v>51</v>
      </c>
      <c r="C248" s="44"/>
      <c r="D248" s="131"/>
      <c r="E248" s="131"/>
      <c r="F248" s="153"/>
    </row>
    <row r="249" spans="1:7" ht="19.5">
      <c r="A249" s="201"/>
      <c r="B249" s="48" t="s">
        <v>52</v>
      </c>
      <c r="C249" s="44" t="s">
        <v>12</v>
      </c>
      <c r="D249" s="116">
        <f>D247*0.015*(1/5)*1.54*(1440/50)</f>
        <v>12.752087040000001</v>
      </c>
      <c r="E249" s="279">
        <v>11200</v>
      </c>
      <c r="F249" s="153">
        <f>E249*D249</f>
        <v>142823.37484800001</v>
      </c>
    </row>
    <row r="250" spans="1:7" ht="19.5">
      <c r="A250" s="237"/>
      <c r="B250" s="48" t="s">
        <v>13</v>
      </c>
      <c r="C250" s="44" t="s">
        <v>28</v>
      </c>
      <c r="D250" s="116">
        <f>D247*0.015*1.54*(4/5)</f>
        <v>1.7711231999999999</v>
      </c>
      <c r="E250" s="279">
        <v>36500</v>
      </c>
      <c r="F250" s="153">
        <f>E250*D250</f>
        <v>64645.996799999994</v>
      </c>
    </row>
    <row r="251" spans="1:7" ht="19.5">
      <c r="A251" s="190"/>
      <c r="B251" s="60" t="s">
        <v>5</v>
      </c>
      <c r="C251" s="61"/>
      <c r="D251" s="119"/>
      <c r="E251" s="259"/>
      <c r="F251" s="160">
        <f>SUM(F249:F250)</f>
        <v>207469.371648</v>
      </c>
    </row>
    <row r="252" spans="1:7" ht="19.5">
      <c r="A252" s="237"/>
      <c r="B252" s="48"/>
      <c r="C252" s="44"/>
      <c r="D252" s="116"/>
      <c r="E252" s="131"/>
      <c r="F252" s="153"/>
    </row>
    <row r="253" spans="1:7" ht="19.5">
      <c r="A253" s="237"/>
      <c r="B253" s="60" t="s">
        <v>53</v>
      </c>
      <c r="C253" s="44"/>
      <c r="D253" s="131"/>
      <c r="E253" s="131"/>
      <c r="F253" s="153"/>
    </row>
    <row r="254" spans="1:7" ht="19.5">
      <c r="A254" s="237"/>
      <c r="B254" s="48" t="s">
        <v>34</v>
      </c>
      <c r="C254" s="44" t="s">
        <v>8</v>
      </c>
      <c r="D254" s="116">
        <f>D247/10</f>
        <v>9.5839999999999996</v>
      </c>
      <c r="E254" s="131">
        <v>2800</v>
      </c>
      <c r="F254" s="153">
        <f>E254*D254</f>
        <v>26835.200000000001</v>
      </c>
    </row>
    <row r="255" spans="1:7" ht="19.5">
      <c r="A255" s="237"/>
      <c r="B255" s="48" t="s">
        <v>7</v>
      </c>
      <c r="C255" s="44" t="s">
        <v>8</v>
      </c>
      <c r="D255" s="131">
        <f>D254*4</f>
        <v>38.335999999999999</v>
      </c>
      <c r="E255" s="131">
        <v>2200</v>
      </c>
      <c r="F255" s="153">
        <f>E255*D255</f>
        <v>84339.199999999997</v>
      </c>
    </row>
    <row r="256" spans="1:7" ht="19.5">
      <c r="A256" s="190"/>
      <c r="B256" s="96" t="s">
        <v>54</v>
      </c>
      <c r="C256" s="61"/>
      <c r="D256" s="133"/>
      <c r="E256" s="133"/>
      <c r="F256" s="160">
        <f>SUM(F254:F255)</f>
        <v>111174.39999999999</v>
      </c>
      <c r="G256" s="324"/>
    </row>
    <row r="257" spans="1:7" ht="19.5">
      <c r="A257" s="198"/>
      <c r="B257" s="48"/>
      <c r="C257" s="44"/>
      <c r="D257" s="131"/>
      <c r="E257" s="131"/>
      <c r="F257" s="153"/>
    </row>
    <row r="258" spans="1:7" s="90" customFormat="1" ht="19.5">
      <c r="A258" s="190">
        <v>14</v>
      </c>
      <c r="B258" s="103" t="s">
        <v>55</v>
      </c>
      <c r="C258" s="94"/>
      <c r="D258" s="127"/>
      <c r="E258" s="280"/>
      <c r="F258" s="294"/>
    </row>
    <row r="259" spans="1:7" ht="19.5">
      <c r="A259" s="239">
        <v>14.01</v>
      </c>
      <c r="B259" s="16" t="s">
        <v>49</v>
      </c>
      <c r="C259" s="35" t="s">
        <v>1</v>
      </c>
      <c r="D259" s="123">
        <f>D247</f>
        <v>95.84</v>
      </c>
      <c r="E259" s="136">
        <f>(F272+F267)/D259</f>
        <v>2852.8422370617691</v>
      </c>
      <c r="F259" s="151">
        <f>E259*D259</f>
        <v>273416.39999999997</v>
      </c>
    </row>
    <row r="260" spans="1:7" ht="19.5">
      <c r="A260" s="198"/>
      <c r="B260" s="60" t="s">
        <v>2</v>
      </c>
      <c r="C260" s="44"/>
      <c r="D260" s="131"/>
      <c r="E260" s="131"/>
      <c r="F260" s="153"/>
    </row>
    <row r="261" spans="1:7" ht="19.5">
      <c r="A261" s="240"/>
      <c r="B261" s="48" t="s">
        <v>56</v>
      </c>
      <c r="C261" s="44" t="s">
        <v>57</v>
      </c>
      <c r="D261" s="131">
        <f>D259*0.07*3</f>
        <v>20.126400000000004</v>
      </c>
      <c r="E261" s="131">
        <f>106000/D261</f>
        <v>5266.7143652118602</v>
      </c>
      <c r="F261" s="153">
        <f>E261*D261</f>
        <v>106000</v>
      </c>
    </row>
    <row r="262" spans="1:7" ht="19.5">
      <c r="A262" s="237"/>
      <c r="B262" s="48" t="str">
        <f>'[1]Emulsion Paint'!$B$19</f>
        <v>Induit/undercoat ( 2 coats)</v>
      </c>
      <c r="C262" s="44" t="s">
        <v>57</v>
      </c>
      <c r="D262" s="131">
        <f>D259*0.07*2</f>
        <v>13.417600000000002</v>
      </c>
      <c r="E262" s="131">
        <f>21500/D262</f>
        <v>1602.3730026234198</v>
      </c>
      <c r="F262" s="153">
        <f>E262*D262</f>
        <v>21500</v>
      </c>
    </row>
    <row r="263" spans="1:7" ht="19.5">
      <c r="A263" s="237"/>
      <c r="B263" s="48" t="str">
        <f>'[1]Emulsion Paint'!$B$24</f>
        <v>Roller</v>
      </c>
      <c r="C263" s="44" t="s">
        <v>44</v>
      </c>
      <c r="D263" s="116">
        <f>D259/100</f>
        <v>0.95840000000000003</v>
      </c>
      <c r="E263" s="131">
        <v>4500</v>
      </c>
      <c r="F263" s="153">
        <f t="shared" ref="F263:F265" si="11">E263*D263</f>
        <v>4312.8</v>
      </c>
    </row>
    <row r="264" spans="1:7" ht="19.5">
      <c r="A264" s="237"/>
      <c r="B264" s="48" t="str">
        <f>'[1]Emulsion Paint'!$B$23</f>
        <v>Brush</v>
      </c>
      <c r="C264" s="44" t="s">
        <v>44</v>
      </c>
      <c r="D264" s="116">
        <f>D259/100</f>
        <v>0.95840000000000003</v>
      </c>
      <c r="E264" s="131">
        <v>4500</v>
      </c>
      <c r="F264" s="153">
        <f t="shared" si="11"/>
        <v>4312.8</v>
      </c>
    </row>
    <row r="265" spans="1:7" ht="19.5">
      <c r="A265" s="237"/>
      <c r="B265" s="48" t="s">
        <v>58</v>
      </c>
      <c r="C265" s="44" t="s">
        <v>59</v>
      </c>
      <c r="D265" s="116">
        <f>D259/100</f>
        <v>0.95840000000000003</v>
      </c>
      <c r="E265" s="131">
        <v>3500</v>
      </c>
      <c r="F265" s="153">
        <f t="shared" si="11"/>
        <v>3354.4</v>
      </c>
    </row>
    <row r="266" spans="1:7" ht="19.5">
      <c r="A266" s="237"/>
      <c r="B266" s="48" t="s">
        <v>60</v>
      </c>
      <c r="C266" s="44" t="s">
        <v>44</v>
      </c>
      <c r="D266" s="116">
        <f>D259/50</f>
        <v>1.9168000000000001</v>
      </c>
      <c r="E266" s="131">
        <v>3500</v>
      </c>
      <c r="F266" s="153">
        <f>E266*D266</f>
        <v>6708.8</v>
      </c>
    </row>
    <row r="267" spans="1:7" ht="19.5">
      <c r="A267" s="190"/>
      <c r="B267" s="60" t="s">
        <v>61</v>
      </c>
      <c r="C267" s="61"/>
      <c r="D267" s="119"/>
      <c r="E267" s="133"/>
      <c r="F267" s="160">
        <f>SUM(F261:F266)</f>
        <v>146188.79999999996</v>
      </c>
      <c r="G267" s="324"/>
    </row>
    <row r="268" spans="1:7" ht="19.5">
      <c r="A268" s="237"/>
      <c r="B268" s="48"/>
      <c r="C268" s="44"/>
      <c r="D268" s="116"/>
      <c r="E268" s="131"/>
      <c r="F268" s="153"/>
    </row>
    <row r="269" spans="1:7" ht="19.5">
      <c r="A269" s="237"/>
      <c r="B269" s="60" t="s">
        <v>6</v>
      </c>
      <c r="C269" s="44"/>
      <c r="D269" s="131"/>
      <c r="E269" s="131"/>
      <c r="F269" s="153"/>
    </row>
    <row r="270" spans="1:7" ht="19.5">
      <c r="A270" s="237"/>
      <c r="B270" s="48" t="s">
        <v>7</v>
      </c>
      <c r="C270" s="44" t="s">
        <v>62</v>
      </c>
      <c r="D270" s="131">
        <f>D271</f>
        <v>7.0682</v>
      </c>
      <c r="E270" s="131">
        <v>6500</v>
      </c>
      <c r="F270" s="153">
        <f>E270*D270</f>
        <v>45943.3</v>
      </c>
    </row>
    <row r="271" spans="1:7" ht="19.5">
      <c r="A271" s="237"/>
      <c r="B271" s="48" t="s">
        <v>63</v>
      </c>
      <c r="C271" s="44" t="s">
        <v>62</v>
      </c>
      <c r="D271" s="131">
        <f>D259*(0.59/8)</f>
        <v>7.0682</v>
      </c>
      <c r="E271" s="131">
        <v>11500</v>
      </c>
      <c r="F271" s="153">
        <f>E271*D271</f>
        <v>81284.3</v>
      </c>
    </row>
    <row r="272" spans="1:7" ht="19.5">
      <c r="A272" s="166"/>
      <c r="B272" s="96" t="s">
        <v>9</v>
      </c>
      <c r="C272" s="28"/>
      <c r="D272" s="119"/>
      <c r="E272" s="133"/>
      <c r="F272" s="288">
        <f>SUM(F270:F271)</f>
        <v>127227.6</v>
      </c>
      <c r="G272" s="324"/>
    </row>
    <row r="273" spans="1:7" ht="19.5">
      <c r="A273" s="241"/>
      <c r="B273" s="105"/>
      <c r="C273" s="47"/>
      <c r="D273" s="126"/>
      <c r="E273" s="139"/>
      <c r="F273" s="295"/>
    </row>
    <row r="274" spans="1:7" s="90" customFormat="1" ht="19.5">
      <c r="A274" s="166">
        <v>15</v>
      </c>
      <c r="B274" s="480" t="s">
        <v>126</v>
      </c>
      <c r="C274" s="480"/>
      <c r="D274" s="480"/>
      <c r="E274" s="480"/>
      <c r="F274" s="481"/>
    </row>
    <row r="275" spans="1:7" ht="19.5">
      <c r="A275" s="203">
        <v>15.01</v>
      </c>
      <c r="B275" s="16" t="s">
        <v>64</v>
      </c>
      <c r="C275" s="35" t="s">
        <v>50</v>
      </c>
      <c r="D275" s="123">
        <f>D247</f>
        <v>95.84</v>
      </c>
      <c r="E275" s="136">
        <f>(F280+F285)/D275</f>
        <v>3816.3774333333336</v>
      </c>
      <c r="F275" s="151">
        <f>E275*D275</f>
        <v>365761.61321066669</v>
      </c>
    </row>
    <row r="276" spans="1:7" ht="19.5">
      <c r="A276" s="202"/>
      <c r="B276" s="60" t="s">
        <v>51</v>
      </c>
      <c r="C276" s="44"/>
      <c r="D276" s="131"/>
      <c r="E276" s="131"/>
      <c r="F276" s="153"/>
    </row>
    <row r="277" spans="1:7" ht="19.5">
      <c r="A277" s="201"/>
      <c r="B277" s="48" t="s">
        <v>52</v>
      </c>
      <c r="C277" s="44" t="s">
        <v>12</v>
      </c>
      <c r="D277" s="116">
        <f>D275*0.01*(1/4)*1.54*(1440/50)+(D275*0.003*(1/6)*1.57*(1440/50))</f>
        <v>12.793489920000001</v>
      </c>
      <c r="E277" s="279">
        <v>11200</v>
      </c>
      <c r="F277" s="153">
        <f>E277*D277</f>
        <v>143287.08710400001</v>
      </c>
      <c r="G277" s="324"/>
    </row>
    <row r="278" spans="1:7" ht="19.5">
      <c r="A278" s="237"/>
      <c r="B278" s="48" t="s">
        <v>13</v>
      </c>
      <c r="C278" s="44" t="s">
        <v>28</v>
      </c>
      <c r="D278" s="116">
        <f>D275*0.01*1.5*1.54*(3/4)</f>
        <v>1.660428</v>
      </c>
      <c r="E278" s="279">
        <v>36500</v>
      </c>
      <c r="F278" s="153">
        <f>E278*D278</f>
        <v>60605.622000000003</v>
      </c>
    </row>
    <row r="279" spans="1:7" ht="19.5">
      <c r="A279" s="237"/>
      <c r="B279" s="48" t="s">
        <v>65</v>
      </c>
      <c r="C279" s="44" t="s">
        <v>31</v>
      </c>
      <c r="D279" s="116">
        <f>D275*0.003*(5/6)*1.57*(1440/50)</f>
        <v>10.8337536</v>
      </c>
      <c r="E279" s="134">
        <v>10400</v>
      </c>
      <c r="F279" s="153">
        <f>E279*D279</f>
        <v>112671.03744</v>
      </c>
    </row>
    <row r="280" spans="1:7" ht="19.5">
      <c r="A280" s="190"/>
      <c r="B280" s="60" t="s">
        <v>5</v>
      </c>
      <c r="C280" s="61"/>
      <c r="D280" s="119"/>
      <c r="E280" s="131"/>
      <c r="F280" s="160">
        <f>SUM(F277:F279)</f>
        <v>316563.74654399999</v>
      </c>
    </row>
    <row r="281" spans="1:7" ht="19.5">
      <c r="A281" s="237"/>
      <c r="B281" s="48"/>
      <c r="C281" s="44"/>
      <c r="D281" s="116"/>
      <c r="E281" s="131"/>
      <c r="F281" s="153"/>
    </row>
    <row r="282" spans="1:7" ht="19.5">
      <c r="A282" s="92"/>
      <c r="B282" s="60" t="s">
        <v>53</v>
      </c>
      <c r="C282" s="44"/>
      <c r="D282" s="131"/>
      <c r="F282" s="153"/>
    </row>
    <row r="283" spans="1:7" ht="19.5">
      <c r="A283" s="92"/>
      <c r="B283" s="48" t="s">
        <v>34</v>
      </c>
      <c r="C283" s="44" t="s">
        <v>8</v>
      </c>
      <c r="D283" s="116">
        <f>D275/15</f>
        <v>6.389333333333334</v>
      </c>
      <c r="E283" s="131">
        <v>3500</v>
      </c>
      <c r="F283" s="153">
        <f>E283*D283</f>
        <v>22362.666666666668</v>
      </c>
    </row>
    <row r="284" spans="1:7" ht="19.5">
      <c r="A284" s="92"/>
      <c r="B284" s="48" t="s">
        <v>7</v>
      </c>
      <c r="C284" s="44" t="s">
        <v>8</v>
      </c>
      <c r="D284" s="131">
        <f>D283*4</f>
        <v>25.557333333333336</v>
      </c>
      <c r="E284" s="131">
        <v>1050</v>
      </c>
      <c r="F284" s="153">
        <f>E284*D284</f>
        <v>26835.200000000004</v>
      </c>
    </row>
    <row r="285" spans="1:7" ht="19.5">
      <c r="A285" s="93"/>
      <c r="B285" s="96" t="s">
        <v>54</v>
      </c>
      <c r="C285" s="61"/>
      <c r="D285" s="133"/>
      <c r="E285" s="133"/>
      <c r="F285" s="160">
        <f>SUM(F283:F284)</f>
        <v>49197.866666666669</v>
      </c>
      <c r="G285" s="324"/>
    </row>
    <row r="286" spans="1:7" ht="19.5">
      <c r="A286" s="91"/>
      <c r="B286" s="97"/>
      <c r="C286" s="23"/>
      <c r="D286" s="116"/>
      <c r="E286" s="131"/>
      <c r="F286" s="287"/>
    </row>
    <row r="287" spans="1:7" s="90" customFormat="1" ht="19.5">
      <c r="A287" s="84">
        <v>16</v>
      </c>
      <c r="B287" s="480" t="s">
        <v>143</v>
      </c>
      <c r="C287" s="480"/>
      <c r="D287" s="480"/>
      <c r="E287" s="480"/>
      <c r="F287" s="481"/>
    </row>
    <row r="288" spans="1:7" ht="19.5">
      <c r="A288" s="206">
        <v>16.010000000000002</v>
      </c>
      <c r="B288" s="16" t="s">
        <v>66</v>
      </c>
      <c r="C288" s="35" t="s">
        <v>1</v>
      </c>
      <c r="D288" s="136">
        <f>D275+D247</f>
        <v>191.68</v>
      </c>
      <c r="E288" s="136">
        <f>(F298+F303)/D288</f>
        <v>3107.2543020418648</v>
      </c>
      <c r="F288" s="151">
        <f>E288*D288</f>
        <v>595598.50461538462</v>
      </c>
    </row>
    <row r="289" spans="1:7" ht="19.5">
      <c r="A289" s="91"/>
      <c r="B289" s="60" t="s">
        <v>2</v>
      </c>
      <c r="C289" s="44"/>
      <c r="D289" s="131"/>
      <c r="E289" s="131"/>
      <c r="F289" s="153"/>
    </row>
    <row r="290" spans="1:7" ht="19.5">
      <c r="A290" s="91"/>
      <c r="B290" s="48" t="str">
        <f>'[1]Emulsion Paint'!$B$22</f>
        <v>Emulsion paint ( 3 coats)</v>
      </c>
      <c r="C290" s="44" t="s">
        <v>57</v>
      </c>
      <c r="D290" s="131">
        <f>D288*0.07*3</f>
        <v>40.252800000000008</v>
      </c>
      <c r="E290" s="131">
        <f>115000/D290</f>
        <v>2856.9441132045467</v>
      </c>
      <c r="F290" s="153">
        <f>E290*D290</f>
        <v>115000</v>
      </c>
    </row>
    <row r="291" spans="1:7" ht="19.5">
      <c r="A291" s="229"/>
      <c r="B291" s="48" t="str">
        <f>'[1]Emulsion Paint'!$B$20</f>
        <v>Whiting/stucco ( 2 coats)</v>
      </c>
      <c r="C291" s="44" t="s">
        <v>67</v>
      </c>
      <c r="D291" s="131">
        <f>D288*((50*2)/65)*2</f>
        <v>589.78461538461545</v>
      </c>
      <c r="E291" s="131">
        <f>145000/D291</f>
        <v>245.85246243739564</v>
      </c>
      <c r="F291" s="153">
        <f t="shared" ref="F291:F297" si="12">E291*D291</f>
        <v>145000</v>
      </c>
    </row>
    <row r="292" spans="1:7" ht="19.5">
      <c r="A292" s="92"/>
      <c r="B292" s="48" t="str">
        <f>'[1]Emulsion Paint'!$B$19</f>
        <v>Induit/undercoat ( 2 coats)</v>
      </c>
      <c r="C292" s="44" t="s">
        <v>57</v>
      </c>
      <c r="D292" s="131">
        <f>D288*0.07*2</f>
        <v>26.835200000000004</v>
      </c>
      <c r="E292" s="131">
        <v>1100</v>
      </c>
      <c r="F292" s="153">
        <f t="shared" si="12"/>
        <v>29518.720000000005</v>
      </c>
    </row>
    <row r="293" spans="1:7" ht="19.5">
      <c r="A293" s="92"/>
      <c r="B293" s="48" t="s">
        <v>68</v>
      </c>
      <c r="C293" s="44" t="s">
        <v>57</v>
      </c>
      <c r="D293" s="131">
        <f>D288*((30/65)*2)</f>
        <v>176.93538461538463</v>
      </c>
      <c r="E293" s="131">
        <v>1100</v>
      </c>
      <c r="F293" s="153">
        <f t="shared" si="12"/>
        <v>194628.92307692309</v>
      </c>
    </row>
    <row r="294" spans="1:7" ht="19.5">
      <c r="A294" s="92"/>
      <c r="B294" s="48" t="str">
        <f>'[1]Emulsion Paint'!$B$21</f>
        <v>Colle</v>
      </c>
      <c r="C294" s="44" t="s">
        <v>69</v>
      </c>
      <c r="D294" s="131">
        <f>D288*((1/65)*2)</f>
        <v>5.897846153846154</v>
      </c>
      <c r="E294" s="131">
        <v>3500</v>
      </c>
      <c r="F294" s="153">
        <f t="shared" si="12"/>
        <v>20642.461538461539</v>
      </c>
    </row>
    <row r="295" spans="1:7" ht="19.5">
      <c r="A295" s="92"/>
      <c r="B295" s="48" t="str">
        <f>'[1]Emulsion Paint'!$B$24</f>
        <v>Roller</v>
      </c>
      <c r="C295" s="44" t="s">
        <v>44</v>
      </c>
      <c r="D295" s="116">
        <f>D288/100</f>
        <v>1.9168000000000001</v>
      </c>
      <c r="E295" s="131">
        <v>3500</v>
      </c>
      <c r="F295" s="153">
        <f t="shared" si="12"/>
        <v>6708.8</v>
      </c>
    </row>
    <row r="296" spans="1:7" ht="19.5">
      <c r="A296" s="92"/>
      <c r="B296" s="48" t="str">
        <f>'[1]Emulsion Paint'!$B$23</f>
        <v>Brush</v>
      </c>
      <c r="C296" s="44" t="s">
        <v>44</v>
      </c>
      <c r="D296" s="116">
        <f>D288/100</f>
        <v>1.9168000000000001</v>
      </c>
      <c r="E296" s="131">
        <v>3500</v>
      </c>
      <c r="F296" s="153">
        <f t="shared" si="12"/>
        <v>6708.8</v>
      </c>
    </row>
    <row r="297" spans="1:7" ht="19.5">
      <c r="A297" s="92"/>
      <c r="B297" s="48" t="s">
        <v>58</v>
      </c>
      <c r="C297" s="44" t="s">
        <v>59</v>
      </c>
      <c r="D297" s="116">
        <f>D288/100</f>
        <v>1.9168000000000001</v>
      </c>
      <c r="E297" s="131">
        <v>3500</v>
      </c>
      <c r="F297" s="153">
        <f t="shared" si="12"/>
        <v>6708.8</v>
      </c>
    </row>
    <row r="298" spans="1:7" ht="19.5">
      <c r="A298" s="93"/>
      <c r="B298" s="60" t="s">
        <v>5</v>
      </c>
      <c r="C298" s="61"/>
      <c r="D298" s="119"/>
      <c r="E298" s="131"/>
      <c r="F298" s="160">
        <f>SUM(F290:F297)</f>
        <v>524916.50461538462</v>
      </c>
    </row>
    <row r="299" spans="1:7" ht="19.5">
      <c r="A299" s="92"/>
      <c r="B299" s="48"/>
      <c r="C299" s="44"/>
      <c r="D299" s="116"/>
      <c r="F299" s="153"/>
    </row>
    <row r="300" spans="1:7" ht="19.5">
      <c r="A300" s="92"/>
      <c r="B300" s="60" t="s">
        <v>6</v>
      </c>
      <c r="C300" s="44"/>
      <c r="D300" s="131"/>
      <c r="F300" s="153"/>
    </row>
    <row r="301" spans="1:7" ht="19.5">
      <c r="A301" s="92"/>
      <c r="B301" s="48" t="s">
        <v>7</v>
      </c>
      <c r="C301" s="44" t="s">
        <v>62</v>
      </c>
      <c r="D301" s="131">
        <f>D302</f>
        <v>14.1364</v>
      </c>
      <c r="E301" s="131">
        <v>3500</v>
      </c>
      <c r="F301" s="153">
        <f>E301*D301</f>
        <v>49477.4</v>
      </c>
    </row>
    <row r="302" spans="1:7" ht="19.5">
      <c r="A302" s="92"/>
      <c r="B302" s="48" t="s">
        <v>70</v>
      </c>
      <c r="C302" s="44" t="s">
        <v>62</v>
      </c>
      <c r="D302" s="131">
        <f>D288*(0.59/8)</f>
        <v>14.1364</v>
      </c>
      <c r="E302" s="131">
        <v>1500</v>
      </c>
      <c r="F302" s="153">
        <f>E302*D302</f>
        <v>21204.6</v>
      </c>
    </row>
    <row r="303" spans="1:7" ht="19.5">
      <c r="A303" s="93"/>
      <c r="B303" s="60" t="s">
        <v>54</v>
      </c>
      <c r="C303" s="61"/>
      <c r="D303" s="133"/>
      <c r="E303" s="133"/>
      <c r="F303" s="160">
        <f>SUM(F301:F302)</f>
        <v>70682</v>
      </c>
      <c r="G303" s="324"/>
    </row>
    <row r="304" spans="1:7" ht="19.5">
      <c r="A304" s="93"/>
      <c r="B304" s="60"/>
      <c r="C304" s="61"/>
      <c r="D304" s="133"/>
      <c r="E304" s="133"/>
      <c r="F304" s="160"/>
    </row>
    <row r="305" spans="1:7" ht="37.700000000000003" customHeight="1">
      <c r="A305" s="315">
        <v>17</v>
      </c>
      <c r="B305" s="471" t="s">
        <v>133</v>
      </c>
      <c r="C305" s="471"/>
      <c r="D305" s="471"/>
      <c r="E305" s="471"/>
      <c r="F305" s="472"/>
    </row>
    <row r="306" spans="1:7" s="26" customFormat="1" ht="19.5">
      <c r="A306" s="1">
        <v>17.010000000000002</v>
      </c>
      <c r="B306" s="2" t="s">
        <v>130</v>
      </c>
      <c r="C306" s="270" t="s">
        <v>131</v>
      </c>
      <c r="D306" s="268">
        <v>2</v>
      </c>
      <c r="E306" s="132">
        <f>248976/D306</f>
        <v>124488</v>
      </c>
      <c r="F306" s="158">
        <f>E306*D306</f>
        <v>248976</v>
      </c>
    </row>
    <row r="307" spans="1:7" s="26" customFormat="1" ht="19.5">
      <c r="A307" s="227"/>
      <c r="B307" s="8" t="s">
        <v>29</v>
      </c>
      <c r="C307" s="9"/>
      <c r="D307" s="131"/>
      <c r="E307" s="131"/>
      <c r="F307" s="153"/>
    </row>
    <row r="308" spans="1:7" ht="19.5">
      <c r="A308" s="86"/>
      <c r="B308" s="13" t="s">
        <v>145</v>
      </c>
      <c r="C308" s="9" t="s">
        <v>146</v>
      </c>
      <c r="D308" s="131">
        <f>D306</f>
        <v>2</v>
      </c>
      <c r="E308" s="131">
        <f>28000*(1.9*1.8)</f>
        <v>95760</v>
      </c>
      <c r="F308" s="153">
        <f>E308*D308</f>
        <v>191520</v>
      </c>
    </row>
    <row r="309" spans="1:7" s="82" customFormat="1" ht="19.7" customHeight="1">
      <c r="A309" s="87"/>
      <c r="B309" s="8" t="s">
        <v>5</v>
      </c>
      <c r="C309" s="12"/>
      <c r="D309" s="133"/>
      <c r="E309" s="133"/>
      <c r="F309" s="160">
        <f>SUM(F308)</f>
        <v>191520</v>
      </c>
    </row>
    <row r="310" spans="1:7" s="26" customFormat="1" ht="19.5">
      <c r="A310" s="86"/>
      <c r="B310" s="13"/>
      <c r="C310" s="9"/>
      <c r="D310" s="131"/>
      <c r="E310" s="131"/>
      <c r="F310" s="153"/>
    </row>
    <row r="311" spans="1:7" ht="19.5">
      <c r="A311" s="228"/>
      <c r="B311" s="8" t="s">
        <v>33</v>
      </c>
      <c r="C311" s="9"/>
      <c r="D311" s="131"/>
      <c r="E311" s="131"/>
      <c r="F311" s="153"/>
    </row>
    <row r="312" spans="1:7" s="81" customFormat="1" ht="19.5">
      <c r="A312" s="86"/>
      <c r="B312" s="13" t="s">
        <v>34</v>
      </c>
      <c r="C312" s="9" t="s">
        <v>21</v>
      </c>
      <c r="D312" s="116">
        <f>D308/2</f>
        <v>1</v>
      </c>
      <c r="E312" s="131">
        <f>E308*0.15</f>
        <v>14364</v>
      </c>
      <c r="F312" s="153">
        <f>E312*D312</f>
        <v>14364</v>
      </c>
    </row>
    <row r="313" spans="1:7" s="261" customFormat="1" ht="19.5">
      <c r="A313" s="86"/>
      <c r="B313" s="13" t="s">
        <v>7</v>
      </c>
      <c r="C313" s="9" t="s">
        <v>21</v>
      </c>
      <c r="D313" s="116">
        <f>+D312*4</f>
        <v>4</v>
      </c>
      <c r="E313" s="131">
        <f>E312*1.5/2</f>
        <v>10773</v>
      </c>
      <c r="F313" s="153">
        <f>E313*D313</f>
        <v>43092</v>
      </c>
    </row>
    <row r="314" spans="1:7" ht="19.5">
      <c r="A314" s="87"/>
      <c r="B314" s="8" t="s">
        <v>39</v>
      </c>
      <c r="C314" s="12"/>
      <c r="D314" s="133"/>
      <c r="E314" s="133"/>
      <c r="F314" s="160">
        <f>SUM(F312:F313)</f>
        <v>57456</v>
      </c>
      <c r="G314" s="324"/>
    </row>
    <row r="315" spans="1:7" s="89" customFormat="1" ht="19.5">
      <c r="A315" s="1">
        <v>17.02</v>
      </c>
      <c r="B315" s="2" t="s">
        <v>132</v>
      </c>
      <c r="C315" s="270" t="s">
        <v>131</v>
      </c>
      <c r="D315" s="268">
        <v>2</v>
      </c>
      <c r="E315" s="132">
        <f>217500/D315</f>
        <v>108750</v>
      </c>
      <c r="F315" s="158">
        <f>E315*D315</f>
        <v>217500</v>
      </c>
    </row>
    <row r="316" spans="1:7" ht="18.75" customHeight="1">
      <c r="A316" s="227"/>
      <c r="B316" s="8" t="s">
        <v>29</v>
      </c>
      <c r="C316" s="9"/>
      <c r="D316" s="131"/>
      <c r="E316" s="131"/>
      <c r="F316" s="153"/>
    </row>
    <row r="317" spans="1:7" ht="17.45" customHeight="1">
      <c r="A317" s="86"/>
      <c r="B317" s="13" t="s">
        <v>145</v>
      </c>
      <c r="C317" s="9" t="s">
        <v>146</v>
      </c>
      <c r="D317" s="131">
        <v>2</v>
      </c>
      <c r="E317" s="131">
        <f>30000*(1*2.5)</f>
        <v>75000</v>
      </c>
      <c r="F317" s="153">
        <f>E317*D317</f>
        <v>150000</v>
      </c>
    </row>
    <row r="318" spans="1:7" ht="19.5">
      <c r="A318" s="87"/>
      <c r="B318" s="8" t="s">
        <v>5</v>
      </c>
      <c r="C318" s="12"/>
      <c r="D318" s="133"/>
      <c r="E318" s="133"/>
      <c r="F318" s="160">
        <f>SUM(F317)</f>
        <v>150000</v>
      </c>
    </row>
    <row r="319" spans="1:7" ht="19.5">
      <c r="A319" s="86"/>
      <c r="B319" s="13"/>
      <c r="C319" s="9"/>
      <c r="D319" s="131"/>
      <c r="E319" s="131"/>
      <c r="F319" s="153"/>
    </row>
    <row r="320" spans="1:7" ht="19.5">
      <c r="A320" s="228"/>
      <c r="B320" s="8" t="s">
        <v>33</v>
      </c>
      <c r="C320" s="9"/>
      <c r="D320" s="131"/>
      <c r="E320" s="131"/>
      <c r="F320" s="153"/>
    </row>
    <row r="321" spans="1:7" ht="19.5">
      <c r="A321" s="86"/>
      <c r="B321" s="13" t="s">
        <v>34</v>
      </c>
      <c r="C321" s="9" t="s">
        <v>21</v>
      </c>
      <c r="D321" s="116">
        <f>D315/2</f>
        <v>1</v>
      </c>
      <c r="E321" s="131">
        <f>E317*0.3</f>
        <v>22500</v>
      </c>
      <c r="F321" s="153">
        <f>E321*D321</f>
        <v>22500</v>
      </c>
    </row>
    <row r="322" spans="1:7" ht="19.5">
      <c r="A322" s="86"/>
      <c r="B322" s="13" t="s">
        <v>7</v>
      </c>
      <c r="C322" s="9" t="s">
        <v>21</v>
      </c>
      <c r="D322" s="116">
        <f>+D321*4</f>
        <v>4</v>
      </c>
      <c r="E322" s="131">
        <f>E321/2</f>
        <v>11250</v>
      </c>
      <c r="F322" s="153">
        <f>E322*D322</f>
        <v>45000</v>
      </c>
    </row>
    <row r="323" spans="1:7" ht="19.5">
      <c r="A323" s="87"/>
      <c r="B323" s="8" t="s">
        <v>39</v>
      </c>
      <c r="C323" s="12"/>
      <c r="D323" s="133"/>
      <c r="E323" s="133"/>
      <c r="F323" s="160">
        <f>SUM(F321:F322)</f>
        <v>67500</v>
      </c>
      <c r="G323" s="324"/>
    </row>
    <row r="324" spans="1:7">
      <c r="A324" s="316"/>
      <c r="B324" s="48"/>
      <c r="C324" s="305"/>
      <c r="D324" s="317"/>
      <c r="E324" s="307"/>
      <c r="F324" s="308"/>
    </row>
    <row r="325" spans="1:7" ht="34.700000000000003" customHeight="1">
      <c r="A325" s="315">
        <v>18</v>
      </c>
      <c r="B325" s="471" t="s">
        <v>134</v>
      </c>
      <c r="C325" s="471"/>
      <c r="D325" s="471"/>
      <c r="E325" s="471"/>
      <c r="F325" s="472"/>
    </row>
    <row r="326" spans="1:7" ht="19.5">
      <c r="A326" s="1">
        <v>18.010000000000002</v>
      </c>
      <c r="B326" s="2" t="s">
        <v>135</v>
      </c>
      <c r="C326" s="270" t="s">
        <v>131</v>
      </c>
      <c r="D326" s="268">
        <v>2</v>
      </c>
      <c r="E326" s="282">
        <f>638820/D326</f>
        <v>319410</v>
      </c>
      <c r="F326" s="318">
        <f>E326*D326</f>
        <v>638820</v>
      </c>
    </row>
    <row r="327" spans="1:7" ht="19.5">
      <c r="A327" s="227"/>
      <c r="B327" s="8" t="s">
        <v>29</v>
      </c>
      <c r="C327" s="9"/>
      <c r="D327" s="131"/>
      <c r="E327" s="131"/>
      <c r="F327" s="153"/>
    </row>
    <row r="328" spans="1:7" ht="19.5">
      <c r="A328" s="86"/>
      <c r="B328" s="13" t="s">
        <v>168</v>
      </c>
      <c r="C328" s="9" t="s">
        <v>146</v>
      </c>
      <c r="D328" s="131">
        <f>D326</f>
        <v>2</v>
      </c>
      <c r="E328" s="131">
        <f>65000*(1.8*2.1)</f>
        <v>245700.00000000003</v>
      </c>
      <c r="F328" s="153">
        <f>E328*D328</f>
        <v>491400.00000000006</v>
      </c>
    </row>
    <row r="329" spans="1:7" ht="19.5">
      <c r="A329" s="87"/>
      <c r="B329" s="8" t="s">
        <v>5</v>
      </c>
      <c r="C329" s="12"/>
      <c r="D329" s="133"/>
      <c r="E329" s="133"/>
      <c r="F329" s="160">
        <f>SUM(F328)</f>
        <v>491400.00000000006</v>
      </c>
    </row>
    <row r="330" spans="1:7" ht="19.5">
      <c r="A330" s="86"/>
      <c r="B330" s="13"/>
      <c r="C330" s="9"/>
      <c r="D330" s="131"/>
      <c r="E330" s="131"/>
      <c r="F330" s="153"/>
    </row>
    <row r="331" spans="1:7" ht="19.5">
      <c r="A331" s="228"/>
      <c r="B331" s="8" t="s">
        <v>33</v>
      </c>
      <c r="C331" s="9"/>
      <c r="D331" s="131"/>
      <c r="E331" s="131"/>
      <c r="F331" s="153"/>
    </row>
    <row r="332" spans="1:7" ht="19.5">
      <c r="A332" s="86"/>
      <c r="B332" s="13" t="s">
        <v>34</v>
      </c>
      <c r="C332" s="9" t="s">
        <v>21</v>
      </c>
      <c r="D332" s="116">
        <f>D326/2</f>
        <v>1</v>
      </c>
      <c r="E332" s="131">
        <f>E328*0.15</f>
        <v>36855</v>
      </c>
      <c r="F332" s="153">
        <f>E332*D332</f>
        <v>36855</v>
      </c>
    </row>
    <row r="333" spans="1:7" ht="19.5">
      <c r="A333" s="86"/>
      <c r="B333" s="13" t="s">
        <v>7</v>
      </c>
      <c r="C333" s="9" t="s">
        <v>21</v>
      </c>
      <c r="D333" s="116">
        <f>+D332*4</f>
        <v>4</v>
      </c>
      <c r="E333" s="131">
        <f>E332*1.5/2</f>
        <v>27641.25</v>
      </c>
      <c r="F333" s="153">
        <f>E333*D333</f>
        <v>110565</v>
      </c>
    </row>
    <row r="334" spans="1:7" ht="19.5">
      <c r="A334" s="341"/>
      <c r="B334" s="312" t="s">
        <v>39</v>
      </c>
      <c r="C334" s="242"/>
      <c r="D334" s="195"/>
      <c r="E334" s="195"/>
      <c r="F334" s="196">
        <f>SUM(F332:F333)</f>
        <v>147420</v>
      </c>
      <c r="G334" s="324"/>
    </row>
    <row r="335" spans="1:7" s="340" customFormat="1" ht="37.5">
      <c r="A335" s="338"/>
      <c r="B335" s="473" t="s">
        <v>179</v>
      </c>
      <c r="C335" s="473"/>
      <c r="D335" s="473"/>
      <c r="E335" s="473"/>
      <c r="F335" s="339">
        <f>F326+F315+F306+F288+F275+F259+F247+F235+F216+F196+F182+F171+F160+F147+F136+F125+F112+F100+F89+F78+F58+F40+F30+F22+F14+F7+F3</f>
        <v>12511072.992884308</v>
      </c>
    </row>
    <row r="355" spans="3:6" ht="18.75" customHeight="1"/>
    <row r="356" spans="3:6" s="63" customFormat="1" ht="18.75" customHeight="1">
      <c r="C356" s="271"/>
      <c r="D356" s="272"/>
      <c r="E356" s="350"/>
      <c r="F356" s="350"/>
    </row>
  </sheetData>
  <mergeCells count="15">
    <mergeCell ref="B325:F325"/>
    <mergeCell ref="B335:E335"/>
    <mergeCell ref="B2:F2"/>
    <mergeCell ref="B13:F13"/>
    <mergeCell ref="B39:F39"/>
    <mergeCell ref="B77:F77"/>
    <mergeCell ref="B124:F124"/>
    <mergeCell ref="B305:F305"/>
    <mergeCell ref="B287:F287"/>
    <mergeCell ref="B274:F274"/>
    <mergeCell ref="B246:F246"/>
    <mergeCell ref="B181:F181"/>
    <mergeCell ref="B159:F159"/>
    <mergeCell ref="B195:F195"/>
    <mergeCell ref="B215:F215"/>
  </mergeCells>
  <pageMargins left="0.7" right="0.7" top="0.75" bottom="0.75" header="0.3" footer="0.3"/>
  <pageSetup orientation="portrait" r:id="rId1"/>
  <ignoredErrors>
    <ignoredError sqref="F21 F29 F88 F135 F146 F99 F170 F314 F5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6"/>
  <sheetViews>
    <sheetView topLeftCell="A315" workbookViewId="0">
      <selection activeCell="E317" sqref="E317:E324"/>
    </sheetView>
  </sheetViews>
  <sheetFormatPr defaultColWidth="8.85546875" defaultRowHeight="15.75"/>
  <cols>
    <col min="1" max="1" width="8.85546875" style="230"/>
    <col min="2" max="2" width="73.85546875" style="106" customWidth="1"/>
    <col min="3" max="3" width="8.85546875" style="108"/>
    <col min="4" max="4" width="17.140625" style="130" customWidth="1"/>
    <col min="5" max="5" width="19.140625" style="281" customWidth="1"/>
    <col min="6" max="6" width="30.42578125" style="281" customWidth="1"/>
    <col min="7" max="7" width="10.85546875" bestFit="1" customWidth="1"/>
  </cols>
  <sheetData>
    <row r="1" spans="1:6" s="70" customFormat="1" ht="44.45" customHeight="1">
      <c r="A1" s="226"/>
      <c r="B1" s="148" t="s">
        <v>120</v>
      </c>
      <c r="C1" s="148" t="s">
        <v>121</v>
      </c>
      <c r="D1" s="148" t="s">
        <v>122</v>
      </c>
      <c r="E1" s="274" t="s">
        <v>123</v>
      </c>
      <c r="F1" s="284" t="s">
        <v>124</v>
      </c>
    </row>
    <row r="2" spans="1:6" ht="18" customHeight="1">
      <c r="A2" s="149">
        <v>1</v>
      </c>
      <c r="B2" s="474" t="s">
        <v>93</v>
      </c>
      <c r="C2" s="474"/>
      <c r="D2" s="474"/>
      <c r="E2" s="474"/>
      <c r="F2" s="475"/>
    </row>
    <row r="3" spans="1:6" ht="18" customHeight="1">
      <c r="A3" s="197">
        <v>1.01</v>
      </c>
      <c r="B3" s="16" t="s">
        <v>94</v>
      </c>
      <c r="C3" s="35" t="s">
        <v>28</v>
      </c>
      <c r="D3" s="123">
        <f>20*0.8*0.4</f>
        <v>6.4</v>
      </c>
      <c r="E3" s="136">
        <v>2300</v>
      </c>
      <c r="F3" s="151">
        <f>E3*D3</f>
        <v>14720</v>
      </c>
    </row>
    <row r="4" spans="1:6" ht="18" customHeight="1">
      <c r="A4" s="198"/>
      <c r="B4" s="8" t="s">
        <v>6</v>
      </c>
      <c r="C4" s="9"/>
      <c r="D4" s="112"/>
      <c r="E4" s="131"/>
      <c r="F4" s="153"/>
    </row>
    <row r="5" spans="1:6" ht="18" customHeight="1">
      <c r="A5" s="198"/>
      <c r="B5" s="13" t="s">
        <v>7</v>
      </c>
      <c r="C5" s="9" t="s">
        <v>8</v>
      </c>
      <c r="D5" s="116">
        <f>D3/0.9</f>
        <v>7.1111111111111116</v>
      </c>
      <c r="E5" s="131">
        <f>F3/D5</f>
        <v>2070</v>
      </c>
      <c r="F5" s="153">
        <f>E5*D5</f>
        <v>14720.000000000002</v>
      </c>
    </row>
    <row r="6" spans="1:6" ht="18" customHeight="1">
      <c r="A6" s="172"/>
      <c r="B6" s="60" t="s">
        <v>9</v>
      </c>
      <c r="C6" s="61"/>
      <c r="D6" s="118"/>
      <c r="E6" s="275"/>
      <c r="F6" s="285">
        <f>SUM(F5)</f>
        <v>14720.000000000002</v>
      </c>
    </row>
    <row r="7" spans="1:6" ht="18" customHeight="1">
      <c r="A7" s="197">
        <v>1.03</v>
      </c>
      <c r="B7" s="16" t="s">
        <v>114</v>
      </c>
      <c r="C7" s="35" t="s">
        <v>28</v>
      </c>
      <c r="D7" s="123">
        <f>(0.75*0.75*1.25)*4</f>
        <v>2.8125</v>
      </c>
      <c r="E7" s="136">
        <f>F11/D7</f>
        <v>1500</v>
      </c>
      <c r="F7" s="151">
        <f>E7*D7</f>
        <v>4218.75</v>
      </c>
    </row>
    <row r="8" spans="1:6" ht="18" customHeight="1">
      <c r="A8" s="198"/>
      <c r="B8" s="8" t="s">
        <v>6</v>
      </c>
      <c r="C8" s="9"/>
      <c r="D8" s="116"/>
      <c r="E8" s="131"/>
      <c r="F8" s="153"/>
    </row>
    <row r="9" spans="1:6" ht="18" customHeight="1">
      <c r="A9" s="198"/>
      <c r="B9" s="13" t="s">
        <v>92</v>
      </c>
      <c r="C9" s="9" t="s">
        <v>8</v>
      </c>
      <c r="D9" s="116">
        <f>D10/10</f>
        <v>0.3125</v>
      </c>
      <c r="E9" s="131">
        <v>1500</v>
      </c>
      <c r="F9" s="153">
        <f>E9*D9</f>
        <v>468.75</v>
      </c>
    </row>
    <row r="10" spans="1:6" ht="18" customHeight="1">
      <c r="A10" s="198"/>
      <c r="B10" s="13" t="s">
        <v>7</v>
      </c>
      <c r="C10" s="9" t="s">
        <v>8</v>
      </c>
      <c r="D10" s="116">
        <f>D7/0.9</f>
        <v>3.125</v>
      </c>
      <c r="E10" s="131">
        <v>1200</v>
      </c>
      <c r="F10" s="153">
        <f>E10*D10</f>
        <v>3750</v>
      </c>
    </row>
    <row r="11" spans="1:6" s="54" customFormat="1" ht="19.5" customHeight="1">
      <c r="A11" s="172"/>
      <c r="B11" s="60" t="s">
        <v>9</v>
      </c>
      <c r="C11" s="61"/>
      <c r="D11" s="113"/>
      <c r="E11" s="275"/>
      <c r="F11" s="285">
        <f>SUM(F9:F10)</f>
        <v>4218.75</v>
      </c>
    </row>
    <row r="12" spans="1:6" ht="19.5" customHeight="1">
      <c r="A12" s="199"/>
      <c r="B12" s="60"/>
      <c r="C12" s="44"/>
      <c r="D12" s="114"/>
      <c r="E12" s="276"/>
      <c r="F12" s="286"/>
    </row>
    <row r="13" spans="1:6" ht="34.5" customHeight="1">
      <c r="A13" s="156">
        <v>2</v>
      </c>
      <c r="B13" s="476" t="s">
        <v>0</v>
      </c>
      <c r="C13" s="476"/>
      <c r="D13" s="476"/>
      <c r="E13" s="476"/>
      <c r="F13" s="477"/>
    </row>
    <row r="14" spans="1:6" ht="18" customHeight="1">
      <c r="A14" s="200">
        <v>2.0099999999999998</v>
      </c>
      <c r="B14" s="2" t="s">
        <v>71</v>
      </c>
      <c r="C14" s="3" t="s">
        <v>1</v>
      </c>
      <c r="D14" s="115">
        <f>20*0.4</f>
        <v>8</v>
      </c>
      <c r="E14" s="132">
        <f>(F21+F17)/D14</f>
        <v>1208.3333333333333</v>
      </c>
      <c r="F14" s="158">
        <f>E14*D14</f>
        <v>9666.6666666666661</v>
      </c>
    </row>
    <row r="15" spans="1:6" ht="18" customHeight="1">
      <c r="A15" s="198"/>
      <c r="B15" s="8" t="s">
        <v>2</v>
      </c>
      <c r="C15" s="9"/>
      <c r="D15" s="116"/>
      <c r="E15" s="131"/>
      <c r="F15" s="153"/>
    </row>
    <row r="16" spans="1:6" ht="18" customHeight="1">
      <c r="A16" s="198"/>
      <c r="B16" s="48" t="s">
        <v>3</v>
      </c>
      <c r="C16" s="9" t="s">
        <v>4</v>
      </c>
      <c r="D16" s="116">
        <f>D14/10</f>
        <v>0.8</v>
      </c>
      <c r="E16" s="131">
        <v>10500</v>
      </c>
      <c r="F16" s="153">
        <f>E16*D16</f>
        <v>8400</v>
      </c>
    </row>
    <row r="17" spans="1:6" ht="18" customHeight="1">
      <c r="A17" s="168"/>
      <c r="B17" s="60" t="s">
        <v>5</v>
      </c>
      <c r="C17" s="12"/>
      <c r="D17" s="119"/>
      <c r="E17" s="133"/>
      <c r="F17" s="160">
        <f>SUM(F16)</f>
        <v>8400</v>
      </c>
    </row>
    <row r="18" spans="1:6" ht="18" customHeight="1">
      <c r="A18" s="198"/>
      <c r="B18" s="48"/>
      <c r="C18" s="9"/>
      <c r="D18" s="116"/>
      <c r="E18" s="131"/>
      <c r="F18" s="153"/>
    </row>
    <row r="19" spans="1:6" ht="18" customHeight="1">
      <c r="A19" s="198"/>
      <c r="B19" s="8" t="s">
        <v>6</v>
      </c>
      <c r="C19" s="9"/>
      <c r="D19" s="116"/>
      <c r="E19" s="131"/>
      <c r="F19" s="153"/>
    </row>
    <row r="20" spans="1:6" ht="18" customHeight="1">
      <c r="A20" s="198"/>
      <c r="B20" s="13" t="s">
        <v>7</v>
      </c>
      <c r="C20" s="9" t="s">
        <v>8</v>
      </c>
      <c r="D20" s="116">
        <f>D14/60</f>
        <v>0.13333333333333333</v>
      </c>
      <c r="E20" s="131">
        <v>9500</v>
      </c>
      <c r="F20" s="153">
        <f>E20*D20</f>
        <v>1266.6666666666667</v>
      </c>
    </row>
    <row r="21" spans="1:6" ht="18" customHeight="1">
      <c r="A21" s="172"/>
      <c r="B21" s="60" t="s">
        <v>9</v>
      </c>
      <c r="C21" s="61"/>
      <c r="D21" s="118"/>
      <c r="E21" s="275"/>
      <c r="F21" s="285">
        <f>SUM(F20)</f>
        <v>1266.6666666666667</v>
      </c>
    </row>
    <row r="22" spans="1:6" ht="18" customHeight="1">
      <c r="A22" s="200">
        <v>2.02</v>
      </c>
      <c r="B22" s="2" t="s">
        <v>97</v>
      </c>
      <c r="C22" s="3" t="s">
        <v>1</v>
      </c>
      <c r="D22" s="115">
        <v>25</v>
      </c>
      <c r="E22" s="132">
        <f>(F25+F33)/D22</f>
        <v>1144.5</v>
      </c>
      <c r="F22" s="158">
        <f>E22*D22</f>
        <v>28612.5</v>
      </c>
    </row>
    <row r="23" spans="1:6" ht="18" customHeight="1">
      <c r="A23" s="198"/>
      <c r="B23" s="8" t="s">
        <v>2</v>
      </c>
      <c r="C23" s="9"/>
      <c r="D23" s="116"/>
      <c r="E23" s="131"/>
      <c r="F23" s="153"/>
    </row>
    <row r="24" spans="1:6" ht="18" customHeight="1">
      <c r="A24" s="198"/>
      <c r="B24" s="48" t="s">
        <v>3</v>
      </c>
      <c r="C24" s="9" t="s">
        <v>4</v>
      </c>
      <c r="D24" s="116">
        <f>D22/10</f>
        <v>2.5</v>
      </c>
      <c r="E24" s="131">
        <v>10500</v>
      </c>
      <c r="F24" s="153">
        <f>E24*D24</f>
        <v>26250</v>
      </c>
    </row>
    <row r="25" spans="1:6" ht="18" customHeight="1">
      <c r="A25" s="168"/>
      <c r="B25" s="60" t="s">
        <v>5</v>
      </c>
      <c r="C25" s="12"/>
      <c r="D25" s="119"/>
      <c r="E25" s="133"/>
      <c r="F25" s="160">
        <f>SUM(F24)</f>
        <v>26250</v>
      </c>
    </row>
    <row r="26" spans="1:6" ht="18" customHeight="1">
      <c r="A26" s="198"/>
      <c r="B26" s="48"/>
      <c r="C26" s="9"/>
      <c r="D26" s="116"/>
      <c r="E26" s="131"/>
      <c r="F26" s="153"/>
    </row>
    <row r="27" spans="1:6" ht="18" customHeight="1">
      <c r="A27" s="198"/>
      <c r="B27" s="8" t="s">
        <v>6</v>
      </c>
      <c r="C27" s="9"/>
      <c r="D27" s="116"/>
      <c r="E27" s="131"/>
      <c r="F27" s="153"/>
    </row>
    <row r="28" spans="1:6" ht="18" customHeight="1">
      <c r="A28" s="198"/>
      <c r="B28" s="13" t="s">
        <v>7</v>
      </c>
      <c r="C28" s="9" t="s">
        <v>8</v>
      </c>
      <c r="D28" s="116">
        <f>D22/60</f>
        <v>0.41666666666666669</v>
      </c>
      <c r="E28" s="131">
        <v>5500</v>
      </c>
      <c r="F28" s="153">
        <f>E28*D28</f>
        <v>2291.666666666667</v>
      </c>
    </row>
    <row r="29" spans="1:6" ht="18" customHeight="1">
      <c r="A29" s="172"/>
      <c r="B29" s="60" t="s">
        <v>9</v>
      </c>
      <c r="C29" s="61"/>
      <c r="D29" s="118"/>
      <c r="E29" s="275"/>
      <c r="F29" s="285">
        <f>SUM(F28)</f>
        <v>2291.666666666667</v>
      </c>
    </row>
    <row r="30" spans="1:6" ht="18" customHeight="1">
      <c r="A30" s="197">
        <v>2.0299999999999998</v>
      </c>
      <c r="B30" s="16" t="s">
        <v>96</v>
      </c>
      <c r="C30" s="35" t="s">
        <v>1</v>
      </c>
      <c r="D30" s="123">
        <f>(0.75*0.75)*4</f>
        <v>2.25</v>
      </c>
      <c r="E30" s="136">
        <f>(F33+F37)/D30</f>
        <v>1141.6666666666667</v>
      </c>
      <c r="F30" s="151">
        <f>E30*D30</f>
        <v>2568.75</v>
      </c>
    </row>
    <row r="31" spans="1:6" ht="18" customHeight="1">
      <c r="A31" s="198"/>
      <c r="B31" s="8" t="s">
        <v>2</v>
      </c>
      <c r="C31" s="9"/>
      <c r="D31" s="116"/>
      <c r="E31" s="131"/>
      <c r="F31" s="153"/>
    </row>
    <row r="32" spans="1:6" ht="18" customHeight="1">
      <c r="A32" s="198"/>
      <c r="B32" s="48" t="s">
        <v>3</v>
      </c>
      <c r="C32" s="9" t="s">
        <v>4</v>
      </c>
      <c r="D32" s="116">
        <f>D30/10</f>
        <v>0.22500000000000001</v>
      </c>
      <c r="E32" s="131">
        <v>10500</v>
      </c>
      <c r="F32" s="153">
        <f>E32*D32</f>
        <v>2362.5</v>
      </c>
    </row>
    <row r="33" spans="1:6" ht="18" customHeight="1">
      <c r="A33" s="168"/>
      <c r="B33" s="60" t="s">
        <v>5</v>
      </c>
      <c r="C33" s="12"/>
      <c r="D33" s="119"/>
      <c r="E33" s="133"/>
      <c r="F33" s="160">
        <f>SUM(F32)</f>
        <v>2362.5</v>
      </c>
    </row>
    <row r="34" spans="1:6" ht="18" customHeight="1">
      <c r="A34" s="168"/>
      <c r="B34" s="60"/>
      <c r="C34" s="12"/>
      <c r="D34" s="119"/>
      <c r="E34" s="133"/>
      <c r="F34" s="160"/>
    </row>
    <row r="35" spans="1:6" ht="18" customHeight="1">
      <c r="A35" s="198"/>
      <c r="B35" s="8" t="s">
        <v>6</v>
      </c>
      <c r="C35" s="9"/>
      <c r="D35" s="116"/>
      <c r="E35" s="131"/>
      <c r="F35" s="153"/>
    </row>
    <row r="36" spans="1:6" ht="18" customHeight="1">
      <c r="A36" s="198"/>
      <c r="B36" s="13" t="s">
        <v>7</v>
      </c>
      <c r="C36" s="9" t="s">
        <v>8</v>
      </c>
      <c r="D36" s="116">
        <f>D30/60</f>
        <v>3.7499999999999999E-2</v>
      </c>
      <c r="E36" s="131">
        <v>5500</v>
      </c>
      <c r="F36" s="153">
        <f>E36*D36</f>
        <v>206.25</v>
      </c>
    </row>
    <row r="37" spans="1:6" ht="18" customHeight="1">
      <c r="A37" s="172"/>
      <c r="B37" s="60" t="s">
        <v>9</v>
      </c>
      <c r="C37" s="61"/>
      <c r="D37" s="118"/>
      <c r="E37" s="275"/>
      <c r="F37" s="285">
        <f>SUM(F36)</f>
        <v>206.25</v>
      </c>
    </row>
    <row r="38" spans="1:6" ht="18" customHeight="1">
      <c r="A38" s="172"/>
      <c r="B38" s="60"/>
      <c r="C38" s="61"/>
      <c r="D38" s="113"/>
      <c r="E38" s="275"/>
      <c r="F38" s="285"/>
    </row>
    <row r="39" spans="1:6" ht="18" customHeight="1">
      <c r="A39" s="161">
        <v>3</v>
      </c>
      <c r="B39" s="478" t="s">
        <v>77</v>
      </c>
      <c r="C39" s="478"/>
      <c r="D39" s="478"/>
      <c r="E39" s="478"/>
      <c r="F39" s="479"/>
    </row>
    <row r="40" spans="1:6" ht="18" customHeight="1">
      <c r="A40" s="197">
        <v>3.01</v>
      </c>
      <c r="B40" s="16" t="s">
        <v>71</v>
      </c>
      <c r="C40" s="3" t="s">
        <v>1</v>
      </c>
      <c r="D40" s="115">
        <f>20*0.4</f>
        <v>8</v>
      </c>
      <c r="E40" s="132">
        <f>(F47+F51+F57)/D40</f>
        <v>5119.5405128205139</v>
      </c>
      <c r="F40" s="158">
        <f>E40*D40</f>
        <v>40956.324102564111</v>
      </c>
    </row>
    <row r="41" spans="1:6" ht="18" customHeight="1">
      <c r="A41" s="201"/>
      <c r="B41" s="19"/>
      <c r="C41" s="20" t="s">
        <v>10</v>
      </c>
      <c r="D41" s="135">
        <f>D40*0.05</f>
        <v>0.4</v>
      </c>
      <c r="E41" s="134"/>
      <c r="F41" s="163"/>
    </row>
    <row r="42" spans="1:6" ht="18" customHeight="1">
      <c r="A42" s="202"/>
      <c r="B42" s="96" t="s">
        <v>2</v>
      </c>
      <c r="C42" s="23"/>
      <c r="D42" s="116"/>
      <c r="E42" s="131"/>
      <c r="F42" s="287"/>
    </row>
    <row r="43" spans="1:6" ht="18" customHeight="1">
      <c r="A43" s="202"/>
      <c r="B43" s="97" t="s">
        <v>11</v>
      </c>
      <c r="C43" s="23" t="s">
        <v>12</v>
      </c>
      <c r="D43" s="116">
        <f>D41*(1/13)*1.57*(1440/50)</f>
        <v>1.3912615384615388</v>
      </c>
      <c r="E43" s="131">
        <v>11200</v>
      </c>
      <c r="F43" s="287">
        <f>E43*D43</f>
        <v>15582.129230769235</v>
      </c>
    </row>
    <row r="44" spans="1:6" ht="18" customHeight="1">
      <c r="A44" s="202"/>
      <c r="B44" s="97" t="s">
        <v>13</v>
      </c>
      <c r="C44" s="23" t="s">
        <v>10</v>
      </c>
      <c r="D44" s="116">
        <f>D41*(4/13)*1.57</f>
        <v>0.19323076923076926</v>
      </c>
      <c r="E44" s="131">
        <v>30500</v>
      </c>
      <c r="F44" s="287">
        <f t="shared" ref="F44:F46" si="0">E44*D44</f>
        <v>5893.5384615384628</v>
      </c>
    </row>
    <row r="45" spans="1:6" ht="18" customHeight="1">
      <c r="A45" s="202"/>
      <c r="B45" s="97" t="s">
        <v>14</v>
      </c>
      <c r="C45" s="23" t="s">
        <v>10</v>
      </c>
      <c r="D45" s="116">
        <f>D41*(8/13)*1.57</f>
        <v>0.38646153846153852</v>
      </c>
      <c r="E45" s="131">
        <v>42300</v>
      </c>
      <c r="F45" s="287">
        <f t="shared" si="0"/>
        <v>16347.323076923079</v>
      </c>
    </row>
    <row r="46" spans="1:6" ht="18" customHeight="1">
      <c r="A46" s="202"/>
      <c r="B46" s="97" t="s">
        <v>15</v>
      </c>
      <c r="C46" s="23" t="s">
        <v>16</v>
      </c>
      <c r="D46" s="116">
        <f>D50*10</f>
        <v>0.66666666666666663</v>
      </c>
      <c r="E46" s="131">
        <v>2200</v>
      </c>
      <c r="F46" s="287">
        <f t="shared" si="0"/>
        <v>1466.6666666666665</v>
      </c>
    </row>
    <row r="47" spans="1:6" ht="18" customHeight="1">
      <c r="A47" s="166"/>
      <c r="B47" s="96" t="s">
        <v>18</v>
      </c>
      <c r="C47" s="28"/>
      <c r="D47" s="119"/>
      <c r="E47" s="133"/>
      <c r="F47" s="288">
        <f>SUM(F43:F46)</f>
        <v>39289.657435897439</v>
      </c>
    </row>
    <row r="48" spans="1:6" ht="18" customHeight="1">
      <c r="A48" s="202"/>
      <c r="B48" s="97"/>
      <c r="C48" s="23"/>
      <c r="D48" s="116"/>
      <c r="E48" s="131"/>
      <c r="F48" s="287"/>
    </row>
    <row r="49" spans="1:7" ht="18" customHeight="1">
      <c r="A49" s="202"/>
      <c r="B49" s="96" t="s">
        <v>19</v>
      </c>
      <c r="C49" s="23"/>
      <c r="D49" s="116"/>
      <c r="E49" s="131"/>
      <c r="F49" s="287"/>
    </row>
    <row r="50" spans="1:7" ht="18" customHeight="1">
      <c r="A50" s="202"/>
      <c r="B50" s="97" t="s">
        <v>20</v>
      </c>
      <c r="C50" s="23" t="s">
        <v>21</v>
      </c>
      <c r="D50" s="116">
        <f>D41/6</f>
        <v>6.6666666666666666E-2</v>
      </c>
      <c r="E50" s="131">
        <v>5000</v>
      </c>
      <c r="F50" s="287">
        <f>E50*D50</f>
        <v>333.33333333333331</v>
      </c>
    </row>
    <row r="51" spans="1:7" ht="18" customHeight="1">
      <c r="A51" s="166"/>
      <c r="B51" s="96" t="s">
        <v>23</v>
      </c>
      <c r="C51" s="28"/>
      <c r="D51" s="119"/>
      <c r="E51" s="133"/>
      <c r="F51" s="288">
        <f>SUM(F50)</f>
        <v>333.33333333333331</v>
      </c>
    </row>
    <row r="52" spans="1:7" ht="18" customHeight="1">
      <c r="A52" s="202"/>
      <c r="B52" s="97"/>
      <c r="C52" s="23"/>
      <c r="D52" s="116"/>
      <c r="E52" s="131"/>
      <c r="F52" s="287"/>
    </row>
    <row r="53" spans="1:7" ht="18" customHeight="1">
      <c r="A53" s="202"/>
      <c r="B53" s="96" t="s">
        <v>6</v>
      </c>
      <c r="C53" s="23"/>
      <c r="D53" s="116"/>
      <c r="E53" s="131"/>
      <c r="F53" s="287"/>
    </row>
    <row r="54" spans="1:7" ht="18" customHeight="1">
      <c r="A54" s="202"/>
      <c r="B54" s="97" t="s">
        <v>24</v>
      </c>
      <c r="C54" s="23" t="s">
        <v>21</v>
      </c>
      <c r="D54" s="116">
        <f>(D41/6)*2</f>
        <v>0.13333333333333333</v>
      </c>
      <c r="E54" s="131">
        <v>1800</v>
      </c>
      <c r="F54" s="287">
        <f>E54*D54</f>
        <v>240</v>
      </c>
    </row>
    <row r="55" spans="1:7" ht="18" customHeight="1">
      <c r="A55" s="202"/>
      <c r="B55" s="97" t="s">
        <v>25</v>
      </c>
      <c r="C55" s="23" t="s">
        <v>21</v>
      </c>
      <c r="D55" s="116">
        <f>(D41/6)*18</f>
        <v>1.2</v>
      </c>
      <c r="E55" s="131">
        <v>800</v>
      </c>
      <c r="F55" s="287">
        <f t="shared" ref="F55:F56" si="1">E55*D55</f>
        <v>960</v>
      </c>
    </row>
    <row r="56" spans="1:7" ht="18" customHeight="1">
      <c r="A56" s="202"/>
      <c r="B56" s="97" t="s">
        <v>26</v>
      </c>
      <c r="C56" s="23" t="s">
        <v>21</v>
      </c>
      <c r="D56" s="116">
        <f>D50</f>
        <v>6.6666666666666666E-2</v>
      </c>
      <c r="E56" s="131">
        <v>2000</v>
      </c>
      <c r="F56" s="287">
        <f t="shared" si="1"/>
        <v>133.33333333333334</v>
      </c>
    </row>
    <row r="57" spans="1:7" ht="18" customHeight="1">
      <c r="A57" s="166"/>
      <c r="B57" s="96" t="s">
        <v>27</v>
      </c>
      <c r="C57" s="28"/>
      <c r="D57" s="119"/>
      <c r="E57" s="133"/>
      <c r="F57" s="288">
        <f>SUM(F54:F56)</f>
        <v>1333.3333333333333</v>
      </c>
    </row>
    <row r="58" spans="1:7" ht="18" customHeight="1">
      <c r="A58" s="197">
        <v>3.02</v>
      </c>
      <c r="B58" s="16" t="s">
        <v>98</v>
      </c>
      <c r="C58" s="3" t="s">
        <v>1</v>
      </c>
      <c r="D58" s="115">
        <f>(0.75*0.75)*4</f>
        <v>2.25</v>
      </c>
      <c r="E58" s="132">
        <f>11839/D58</f>
        <v>5261.7777777777774</v>
      </c>
      <c r="F58" s="158">
        <f>E58*D58</f>
        <v>11839</v>
      </c>
      <c r="G58" s="324"/>
    </row>
    <row r="59" spans="1:7" ht="18" customHeight="1">
      <c r="A59" s="201"/>
      <c r="B59" s="19"/>
      <c r="C59" s="20" t="s">
        <v>10</v>
      </c>
      <c r="D59" s="135">
        <f>D58*0.05</f>
        <v>0.1125</v>
      </c>
      <c r="E59" s="134"/>
      <c r="F59" s="163"/>
    </row>
    <row r="60" spans="1:7" ht="18" customHeight="1">
      <c r="A60" s="202"/>
      <c r="B60" s="96" t="s">
        <v>2</v>
      </c>
      <c r="C60" s="23"/>
      <c r="D60" s="116"/>
      <c r="E60" s="131"/>
      <c r="F60" s="287"/>
    </row>
    <row r="61" spans="1:7" ht="18" customHeight="1">
      <c r="A61" s="202"/>
      <c r="B61" s="97" t="s">
        <v>11</v>
      </c>
      <c r="C61" s="23" t="s">
        <v>12</v>
      </c>
      <c r="D61" s="116">
        <f>D59*(1/13)*1.57*(1440/50)</f>
        <v>0.39129230769230772</v>
      </c>
      <c r="E61" s="131">
        <v>11200</v>
      </c>
      <c r="F61" s="287">
        <f>E61*D61</f>
        <v>4382.4738461538464</v>
      </c>
    </row>
    <row r="62" spans="1:7" ht="18" customHeight="1">
      <c r="A62" s="202"/>
      <c r="B62" s="97" t="s">
        <v>13</v>
      </c>
      <c r="C62" s="23" t="s">
        <v>10</v>
      </c>
      <c r="D62" s="116">
        <f>D59*(4/13)*1.57</f>
        <v>5.434615384615385E-2</v>
      </c>
      <c r="E62" s="131">
        <v>30500</v>
      </c>
      <c r="F62" s="287">
        <f t="shared" ref="F62:F64" si="2">E62*D62</f>
        <v>1657.5576923076924</v>
      </c>
    </row>
    <row r="63" spans="1:7" ht="18" customHeight="1">
      <c r="A63" s="202"/>
      <c r="B63" s="97" t="s">
        <v>14</v>
      </c>
      <c r="C63" s="23" t="s">
        <v>10</v>
      </c>
      <c r="D63" s="116">
        <f>D59*(8/13)*1.57</f>
        <v>0.1086923076923077</v>
      </c>
      <c r="E63" s="131">
        <v>22300</v>
      </c>
      <c r="F63" s="287">
        <f t="shared" si="2"/>
        <v>2423.8384615384616</v>
      </c>
    </row>
    <row r="64" spans="1:7" ht="18" customHeight="1">
      <c r="A64" s="202"/>
      <c r="B64" s="97" t="s">
        <v>15</v>
      </c>
      <c r="C64" s="23" t="s">
        <v>16</v>
      </c>
      <c r="D64" s="116">
        <f>D68*10</f>
        <v>0.1875</v>
      </c>
      <c r="E64" s="131">
        <v>1900</v>
      </c>
      <c r="F64" s="287">
        <f t="shared" si="2"/>
        <v>356.25</v>
      </c>
    </row>
    <row r="65" spans="1:7" ht="18" customHeight="1">
      <c r="A65" s="166"/>
      <c r="B65" s="96" t="s">
        <v>18</v>
      </c>
      <c r="C65" s="28"/>
      <c r="D65" s="119"/>
      <c r="E65" s="133"/>
      <c r="F65" s="288">
        <f>SUM(F61:F64)</f>
        <v>8820.1200000000008</v>
      </c>
    </row>
    <row r="66" spans="1:7" ht="18" customHeight="1">
      <c r="A66" s="202"/>
      <c r="B66" s="97"/>
      <c r="C66" s="23"/>
      <c r="D66" s="116"/>
      <c r="E66" s="131"/>
      <c r="F66" s="287"/>
    </row>
    <row r="67" spans="1:7" ht="18" customHeight="1">
      <c r="A67" s="202"/>
      <c r="B67" s="96" t="s">
        <v>19</v>
      </c>
      <c r="C67" s="23"/>
      <c r="D67" s="116"/>
      <c r="E67" s="131"/>
      <c r="F67" s="287"/>
    </row>
    <row r="68" spans="1:7" ht="18" customHeight="1">
      <c r="A68" s="202"/>
      <c r="B68" s="97" t="s">
        <v>20</v>
      </c>
      <c r="C68" s="23" t="s">
        <v>21</v>
      </c>
      <c r="D68" s="116">
        <f>D59/6</f>
        <v>1.8749999999999999E-2</v>
      </c>
      <c r="E68" s="131">
        <v>7000</v>
      </c>
      <c r="F68" s="287">
        <f>E68*D68</f>
        <v>131.25</v>
      </c>
    </row>
    <row r="69" spans="1:7" ht="18" customHeight="1">
      <c r="A69" s="166"/>
      <c r="B69" s="96" t="s">
        <v>23</v>
      </c>
      <c r="C69" s="28"/>
      <c r="D69" s="119"/>
      <c r="E69" s="133"/>
      <c r="F69" s="288">
        <f>SUM(F68)</f>
        <v>131.25</v>
      </c>
    </row>
    <row r="70" spans="1:7" ht="18" customHeight="1">
      <c r="A70" s="202"/>
      <c r="B70" s="97"/>
      <c r="C70" s="23"/>
      <c r="D70" s="116"/>
      <c r="E70" s="131"/>
      <c r="F70" s="287"/>
    </row>
    <row r="71" spans="1:7" ht="18" customHeight="1">
      <c r="A71" s="202"/>
      <c r="B71" s="96" t="s">
        <v>6</v>
      </c>
      <c r="C71" s="23"/>
      <c r="D71" s="116"/>
      <c r="E71" s="131"/>
      <c r="F71" s="287"/>
    </row>
    <row r="72" spans="1:7" ht="18" customHeight="1">
      <c r="A72" s="202"/>
      <c r="B72" s="97" t="s">
        <v>24</v>
      </c>
      <c r="C72" s="23" t="s">
        <v>21</v>
      </c>
      <c r="D72" s="116">
        <f>(D59/6)*2</f>
        <v>3.7499999999999999E-2</v>
      </c>
      <c r="E72" s="131">
        <v>8000</v>
      </c>
      <c r="F72" s="287">
        <f>E72*D72</f>
        <v>300</v>
      </c>
    </row>
    <row r="73" spans="1:7" ht="18" customHeight="1">
      <c r="A73" s="202"/>
      <c r="B73" s="97" t="s">
        <v>25</v>
      </c>
      <c r="C73" s="23" t="s">
        <v>21</v>
      </c>
      <c r="D73" s="116">
        <f>(D59/6)*18</f>
        <v>0.33749999999999997</v>
      </c>
      <c r="E73" s="131">
        <v>6000</v>
      </c>
      <c r="F73" s="287">
        <f t="shared" ref="F73:F74" si="3">E73*D73</f>
        <v>2024.9999999999998</v>
      </c>
    </row>
    <row r="74" spans="1:7" ht="18" customHeight="1">
      <c r="A74" s="202"/>
      <c r="B74" s="97" t="s">
        <v>26</v>
      </c>
      <c r="C74" s="23" t="s">
        <v>21</v>
      </c>
      <c r="D74" s="116">
        <f>D68</f>
        <v>1.8749999999999999E-2</v>
      </c>
      <c r="E74" s="131">
        <v>12000</v>
      </c>
      <c r="F74" s="287">
        <f t="shared" si="3"/>
        <v>225</v>
      </c>
    </row>
    <row r="75" spans="1:7" ht="18" customHeight="1">
      <c r="A75" s="166"/>
      <c r="B75" s="96" t="s">
        <v>27</v>
      </c>
      <c r="C75" s="28"/>
      <c r="D75" s="119"/>
      <c r="E75" s="133"/>
      <c r="F75" s="288">
        <f>SUM(F72:F74)</f>
        <v>2550</v>
      </c>
      <c r="G75" s="324"/>
    </row>
    <row r="76" spans="1:7" ht="18" customHeight="1">
      <c r="A76" s="166"/>
      <c r="B76" s="96"/>
      <c r="C76" s="28"/>
      <c r="D76" s="119"/>
      <c r="E76" s="133"/>
      <c r="F76" s="288"/>
    </row>
    <row r="77" spans="1:7" ht="18" customHeight="1">
      <c r="A77" s="166">
        <v>4</v>
      </c>
      <c r="B77" s="480" t="s">
        <v>82</v>
      </c>
      <c r="C77" s="480"/>
      <c r="D77" s="480"/>
      <c r="E77" s="480"/>
      <c r="F77" s="481"/>
    </row>
    <row r="78" spans="1:7" ht="18" customHeight="1">
      <c r="A78" s="197">
        <v>4.01</v>
      </c>
      <c r="B78" s="98" t="s">
        <v>83</v>
      </c>
      <c r="C78" s="69" t="s">
        <v>50</v>
      </c>
      <c r="D78" s="123">
        <f>((0.75*0.2)*4)*4</f>
        <v>2.4000000000000004</v>
      </c>
      <c r="E78" s="136">
        <f>39568/D78</f>
        <v>16486.666666666664</v>
      </c>
      <c r="F78" s="289">
        <f>E78*D78</f>
        <v>39568</v>
      </c>
    </row>
    <row r="79" spans="1:7" ht="18" customHeight="1">
      <c r="A79" s="202"/>
      <c r="B79" s="96" t="s">
        <v>2</v>
      </c>
      <c r="C79" s="23"/>
      <c r="D79" s="112"/>
      <c r="E79" s="131"/>
      <c r="F79" s="287"/>
    </row>
    <row r="80" spans="1:7" ht="18" customHeight="1">
      <c r="A80" s="202"/>
      <c r="B80" s="97" t="s">
        <v>84</v>
      </c>
      <c r="C80" s="23" t="s">
        <v>85</v>
      </c>
      <c r="D80" s="116">
        <f>D78/(2.4*1.2)/2</f>
        <v>0.41666666666666674</v>
      </c>
      <c r="E80" s="131">
        <v>3500</v>
      </c>
      <c r="F80" s="287">
        <f>E80*D80</f>
        <v>1458.3333333333335</v>
      </c>
    </row>
    <row r="81" spans="1:6" ht="18" customHeight="1">
      <c r="A81" s="202"/>
      <c r="B81" s="97" t="s">
        <v>86</v>
      </c>
      <c r="C81" s="23" t="s">
        <v>44</v>
      </c>
      <c r="D81" s="116">
        <f>D78*1.5</f>
        <v>3.6000000000000005</v>
      </c>
      <c r="E81" s="131">
        <v>5000</v>
      </c>
      <c r="F81" s="287">
        <f t="shared" ref="F81:F82" si="4">E81*D81</f>
        <v>18000.000000000004</v>
      </c>
    </row>
    <row r="82" spans="1:6" ht="18" customHeight="1">
      <c r="A82" s="198"/>
      <c r="B82" s="97" t="s">
        <v>87</v>
      </c>
      <c r="C82" s="23" t="s">
        <v>88</v>
      </c>
      <c r="D82" s="116">
        <f>D78*0.25</f>
        <v>0.60000000000000009</v>
      </c>
      <c r="E82" s="131">
        <v>2200</v>
      </c>
      <c r="F82" s="287">
        <f t="shared" si="4"/>
        <v>1320.0000000000002</v>
      </c>
    </row>
    <row r="83" spans="1:6" ht="18" customHeight="1">
      <c r="A83" s="198"/>
      <c r="B83" s="96" t="s">
        <v>89</v>
      </c>
      <c r="C83" s="28"/>
      <c r="D83" s="119"/>
      <c r="E83" s="133"/>
      <c r="F83" s="288">
        <f>SUM(F80:F82)</f>
        <v>20778.333333333336</v>
      </c>
    </row>
    <row r="84" spans="1:6" ht="18" customHeight="1">
      <c r="A84" s="198"/>
      <c r="B84" s="97"/>
      <c r="C84" s="23"/>
      <c r="D84" s="116"/>
      <c r="E84" s="131"/>
      <c r="F84" s="287"/>
    </row>
    <row r="85" spans="1:6" ht="18" customHeight="1">
      <c r="A85" s="199"/>
      <c r="B85" s="96" t="s">
        <v>6</v>
      </c>
      <c r="C85" s="23"/>
      <c r="D85" s="116"/>
      <c r="E85" s="131"/>
      <c r="F85" s="287"/>
    </row>
    <row r="86" spans="1:6" ht="18" customHeight="1">
      <c r="A86" s="199"/>
      <c r="B86" s="97" t="s">
        <v>90</v>
      </c>
      <c r="C86" s="23" t="s">
        <v>21</v>
      </c>
      <c r="D86" s="116">
        <f>D78/15</f>
        <v>0.16000000000000003</v>
      </c>
      <c r="E86" s="131">
        <v>15000</v>
      </c>
      <c r="F86" s="287">
        <f>E86*D86</f>
        <v>2400.0000000000005</v>
      </c>
    </row>
    <row r="87" spans="1:6" ht="18" customHeight="1">
      <c r="A87" s="199"/>
      <c r="B87" s="97" t="s">
        <v>25</v>
      </c>
      <c r="C87" s="23" t="s">
        <v>21</v>
      </c>
      <c r="D87" s="116">
        <f>D86*2</f>
        <v>0.32000000000000006</v>
      </c>
      <c r="E87" s="131">
        <v>10000</v>
      </c>
      <c r="F87" s="287">
        <f>E87*D87</f>
        <v>3200.0000000000005</v>
      </c>
    </row>
    <row r="88" spans="1:6" ht="18" customHeight="1">
      <c r="A88" s="202"/>
      <c r="B88" s="96" t="s">
        <v>91</v>
      </c>
      <c r="C88" s="28"/>
      <c r="D88" s="120"/>
      <c r="E88" s="133"/>
      <c r="F88" s="288">
        <f>SUM(F86:F87)</f>
        <v>5600.0000000000009</v>
      </c>
    </row>
    <row r="89" spans="1:6" ht="18" customHeight="1">
      <c r="A89" s="197">
        <v>4.0199999999999996</v>
      </c>
      <c r="B89" s="98" t="s">
        <v>118</v>
      </c>
      <c r="C89" s="69" t="s">
        <v>50</v>
      </c>
      <c r="D89" s="123">
        <f>((1.05*0.3)*4)*4</f>
        <v>5.04</v>
      </c>
      <c r="E89" s="136">
        <f>98499/D89</f>
        <v>19543.452380952382</v>
      </c>
      <c r="F89" s="289">
        <f>E89*D89</f>
        <v>98499</v>
      </c>
    </row>
    <row r="90" spans="1:6" ht="18" customHeight="1">
      <c r="A90" s="202"/>
      <c r="B90" s="96" t="s">
        <v>2</v>
      </c>
      <c r="C90" s="23"/>
      <c r="D90" s="112"/>
      <c r="E90" s="131"/>
      <c r="F90" s="287"/>
    </row>
    <row r="91" spans="1:6" ht="18" customHeight="1">
      <c r="A91" s="202"/>
      <c r="B91" s="97" t="s">
        <v>84</v>
      </c>
      <c r="C91" s="23" t="s">
        <v>85</v>
      </c>
      <c r="D91" s="116">
        <f>D89/(2.4*1.2)/2</f>
        <v>0.875</v>
      </c>
      <c r="E91" s="131">
        <v>2500</v>
      </c>
      <c r="F91" s="287">
        <f>E91*D91</f>
        <v>2187.5</v>
      </c>
    </row>
    <row r="92" spans="1:6" ht="18" customHeight="1">
      <c r="A92" s="202"/>
      <c r="B92" s="97" t="s">
        <v>86</v>
      </c>
      <c r="C92" s="23" t="s">
        <v>44</v>
      </c>
      <c r="D92" s="116">
        <f>D89*1.5</f>
        <v>7.5600000000000005</v>
      </c>
      <c r="E92" s="131">
        <v>3000</v>
      </c>
      <c r="F92" s="287">
        <f t="shared" ref="F92:F93" si="5">E92*D92</f>
        <v>22680</v>
      </c>
    </row>
    <row r="93" spans="1:6" ht="18" customHeight="1">
      <c r="A93" s="198"/>
      <c r="B93" s="97" t="s">
        <v>87</v>
      </c>
      <c r="C93" s="23" t="s">
        <v>88</v>
      </c>
      <c r="D93" s="116">
        <f>D89*0.25</f>
        <v>1.26</v>
      </c>
      <c r="E93" s="131">
        <v>2200</v>
      </c>
      <c r="F93" s="287">
        <f t="shared" si="5"/>
        <v>2772</v>
      </c>
    </row>
    <row r="94" spans="1:6" ht="18" customHeight="1">
      <c r="A94" s="198"/>
      <c r="B94" s="96" t="s">
        <v>89</v>
      </c>
      <c r="C94" s="28"/>
      <c r="D94" s="119"/>
      <c r="E94" s="133"/>
      <c r="F94" s="288">
        <f>SUM(F91:F93)</f>
        <v>27639.5</v>
      </c>
    </row>
    <row r="95" spans="1:6" ht="18" customHeight="1">
      <c r="A95" s="198"/>
      <c r="B95" s="97"/>
      <c r="C95" s="23"/>
      <c r="D95" s="116"/>
      <c r="E95" s="131"/>
      <c r="F95" s="287"/>
    </row>
    <row r="96" spans="1:6" ht="18" customHeight="1">
      <c r="A96" s="199"/>
      <c r="B96" s="96" t="s">
        <v>6</v>
      </c>
      <c r="C96" s="23"/>
      <c r="D96" s="116"/>
      <c r="E96" s="131"/>
      <c r="F96" s="287"/>
    </row>
    <row r="97" spans="1:6" ht="18" customHeight="1">
      <c r="A97" s="199"/>
      <c r="B97" s="97" t="s">
        <v>90</v>
      </c>
      <c r="C97" s="23" t="s">
        <v>21</v>
      </c>
      <c r="D97" s="116">
        <f>D89/15</f>
        <v>0.33600000000000002</v>
      </c>
      <c r="E97" s="131">
        <v>15000</v>
      </c>
      <c r="F97" s="287">
        <f>E97*D97</f>
        <v>5040</v>
      </c>
    </row>
    <row r="98" spans="1:6" ht="18" customHeight="1">
      <c r="A98" s="199"/>
      <c r="B98" s="97" t="s">
        <v>25</v>
      </c>
      <c r="C98" s="23" t="s">
        <v>21</v>
      </c>
      <c r="D98" s="116">
        <f>D97*2</f>
        <v>0.67200000000000004</v>
      </c>
      <c r="E98" s="131">
        <v>10000</v>
      </c>
      <c r="F98" s="287">
        <f>E98*D98</f>
        <v>6720</v>
      </c>
    </row>
    <row r="99" spans="1:6" ht="18" customHeight="1">
      <c r="A99" s="202"/>
      <c r="B99" s="96" t="s">
        <v>91</v>
      </c>
      <c r="C99" s="28"/>
      <c r="D99" s="120"/>
      <c r="E99" s="133"/>
      <c r="F99" s="288">
        <f>SUM(F97:F98)</f>
        <v>11760</v>
      </c>
    </row>
    <row r="100" spans="1:6" ht="18" customHeight="1">
      <c r="A100" s="197">
        <v>4.03</v>
      </c>
      <c r="B100" s="98" t="s">
        <v>95</v>
      </c>
      <c r="C100" s="69" t="s">
        <v>36</v>
      </c>
      <c r="D100" s="123">
        <f>((3.1*0.3)*4)*4</f>
        <v>14.879999999999999</v>
      </c>
      <c r="E100" s="136">
        <f>415323/D100</f>
        <v>27911.491935483871</v>
      </c>
      <c r="F100" s="289">
        <f>E100*D100</f>
        <v>415323</v>
      </c>
    </row>
    <row r="101" spans="1:6" ht="18" customHeight="1">
      <c r="A101" s="202"/>
      <c r="B101" s="96" t="s">
        <v>2</v>
      </c>
      <c r="C101" s="23"/>
      <c r="D101" s="112"/>
      <c r="E101" s="131"/>
      <c r="F101" s="287"/>
    </row>
    <row r="102" spans="1:6" ht="18" customHeight="1">
      <c r="A102" s="202"/>
      <c r="B102" s="97" t="s">
        <v>84</v>
      </c>
      <c r="C102" s="23" t="s">
        <v>85</v>
      </c>
      <c r="D102" s="116">
        <f>D100/(2.4*1.2)/2</f>
        <v>2.583333333333333</v>
      </c>
      <c r="E102" s="131">
        <v>4500</v>
      </c>
      <c r="F102" s="287">
        <f>E102*D102</f>
        <v>11624.999999999998</v>
      </c>
    </row>
    <row r="103" spans="1:6" s="64" customFormat="1" ht="18" customHeight="1">
      <c r="A103" s="202"/>
      <c r="B103" s="97" t="s">
        <v>86</v>
      </c>
      <c r="C103" s="23" t="s">
        <v>44</v>
      </c>
      <c r="D103" s="116">
        <f>D100*1.5</f>
        <v>22.32</v>
      </c>
      <c r="E103" s="131">
        <v>5000</v>
      </c>
      <c r="F103" s="287">
        <f t="shared" ref="F103:F104" si="6">E103*D103</f>
        <v>111600</v>
      </c>
    </row>
    <row r="104" spans="1:6" ht="18" customHeight="1">
      <c r="A104" s="198"/>
      <c r="B104" s="97" t="s">
        <v>87</v>
      </c>
      <c r="C104" s="23" t="s">
        <v>88</v>
      </c>
      <c r="D104" s="116">
        <f>D100*0.25</f>
        <v>3.7199999999999998</v>
      </c>
      <c r="E104" s="131">
        <v>2200</v>
      </c>
      <c r="F104" s="287">
        <f t="shared" si="6"/>
        <v>8183.9999999999991</v>
      </c>
    </row>
    <row r="105" spans="1:6" ht="18" customHeight="1">
      <c r="A105" s="198"/>
      <c r="B105" s="96" t="s">
        <v>89</v>
      </c>
      <c r="C105" s="28"/>
      <c r="D105" s="119"/>
      <c r="E105" s="133"/>
      <c r="F105" s="288">
        <f>SUM(F102:F104)</f>
        <v>131409</v>
      </c>
    </row>
    <row r="106" spans="1:6" ht="18" customHeight="1">
      <c r="A106" s="198"/>
      <c r="B106" s="97"/>
      <c r="C106" s="23"/>
      <c r="D106" s="116"/>
      <c r="E106" s="131"/>
      <c r="F106" s="287"/>
    </row>
    <row r="107" spans="1:6" s="59" customFormat="1" ht="18" customHeight="1">
      <c r="A107" s="199"/>
      <c r="B107" s="96" t="s">
        <v>6</v>
      </c>
      <c r="C107" s="23"/>
      <c r="D107" s="116"/>
      <c r="E107" s="131"/>
      <c r="F107" s="287"/>
    </row>
    <row r="108" spans="1:6" ht="18" customHeight="1">
      <c r="A108" s="199"/>
      <c r="B108" s="97" t="s">
        <v>90</v>
      </c>
      <c r="C108" s="23" t="s">
        <v>21</v>
      </c>
      <c r="D108" s="116">
        <f>D100/15</f>
        <v>0.99199999999999988</v>
      </c>
      <c r="E108" s="131">
        <v>15000</v>
      </c>
      <c r="F108" s="287">
        <f>E108*D108</f>
        <v>14879.999999999998</v>
      </c>
    </row>
    <row r="109" spans="1:6" ht="18" customHeight="1">
      <c r="A109" s="199"/>
      <c r="B109" s="97" t="s">
        <v>25</v>
      </c>
      <c r="C109" s="23" t="s">
        <v>21</v>
      </c>
      <c r="D109" s="116">
        <f>D108*2</f>
        <v>1.9839999999999998</v>
      </c>
      <c r="E109" s="131">
        <v>10000</v>
      </c>
      <c r="F109" s="287">
        <f>E109*D109</f>
        <v>19839.999999999996</v>
      </c>
    </row>
    <row r="110" spans="1:6" ht="18" customHeight="1">
      <c r="A110" s="202"/>
      <c r="B110" s="11" t="s">
        <v>9</v>
      </c>
      <c r="C110" s="28"/>
      <c r="D110" s="120"/>
      <c r="E110" s="133"/>
      <c r="F110" s="288">
        <f>SUM(F108:F109)</f>
        <v>34719.999999999993</v>
      </c>
    </row>
    <row r="111" spans="1:6" ht="18" customHeight="1">
      <c r="A111" s="202"/>
      <c r="B111" s="11"/>
      <c r="C111" s="28"/>
      <c r="D111" s="120"/>
      <c r="E111" s="133"/>
      <c r="F111" s="288"/>
    </row>
    <row r="112" spans="1:6" s="59" customFormat="1" ht="18" customHeight="1">
      <c r="A112" s="203">
        <v>5</v>
      </c>
      <c r="B112" s="99" t="s">
        <v>105</v>
      </c>
      <c r="C112" s="69" t="s">
        <v>88</v>
      </c>
      <c r="D112" s="123">
        <v>94.819000000000003</v>
      </c>
      <c r="E112" s="136">
        <f>604550/D112</f>
        <v>6375.8318480473317</v>
      </c>
      <c r="F112" s="289">
        <f>E112*D112</f>
        <v>604550</v>
      </c>
    </row>
    <row r="113" spans="1:7" ht="18" customHeight="1">
      <c r="A113" s="202"/>
      <c r="B113" s="96" t="s">
        <v>2</v>
      </c>
      <c r="C113" s="23"/>
      <c r="D113" s="112"/>
      <c r="E113" s="131"/>
      <c r="F113" s="287"/>
    </row>
    <row r="114" spans="1:7" s="64" customFormat="1" ht="18" customHeight="1">
      <c r="A114" s="202"/>
      <c r="B114" s="97" t="s">
        <v>106</v>
      </c>
      <c r="C114" s="23" t="s">
        <v>88</v>
      </c>
      <c r="D114" s="116">
        <f>D112*1.1</f>
        <v>104.30090000000001</v>
      </c>
      <c r="E114" s="131">
        <v>5050</v>
      </c>
      <c r="F114" s="287">
        <f>E114*D114</f>
        <v>526719.54500000004</v>
      </c>
    </row>
    <row r="115" spans="1:7" ht="18" customHeight="1">
      <c r="A115" s="202"/>
      <c r="B115" s="97" t="s">
        <v>107</v>
      </c>
      <c r="C115" s="23" t="s">
        <v>88</v>
      </c>
      <c r="D115" s="116">
        <f>D112*2.5%</f>
        <v>2.3704750000000003</v>
      </c>
      <c r="E115" s="131">
        <v>3500</v>
      </c>
      <c r="F115" s="287">
        <f>E115*D115</f>
        <v>8296.6625000000004</v>
      </c>
    </row>
    <row r="116" spans="1:7" ht="18" customHeight="1">
      <c r="A116" s="202"/>
      <c r="B116" s="97"/>
      <c r="C116" s="23"/>
      <c r="D116" s="116"/>
      <c r="E116" s="131"/>
      <c r="F116" s="288">
        <f>SUM(F114:F115)</f>
        <v>535016.20750000002</v>
      </c>
    </row>
    <row r="117" spans="1:7" ht="18" customHeight="1">
      <c r="A117" s="166"/>
      <c r="B117" s="96" t="s">
        <v>108</v>
      </c>
      <c r="C117" s="28"/>
      <c r="D117" s="119"/>
      <c r="E117" s="133"/>
      <c r="F117" s="288"/>
    </row>
    <row r="118" spans="1:7" ht="18" customHeight="1">
      <c r="A118" s="202"/>
      <c r="B118" s="97"/>
      <c r="C118" s="23"/>
      <c r="D118" s="116"/>
      <c r="E118" s="131"/>
      <c r="F118" s="287"/>
    </row>
    <row r="119" spans="1:7" s="59" customFormat="1" ht="18" customHeight="1">
      <c r="A119" s="202"/>
      <c r="B119" s="96" t="s">
        <v>6</v>
      </c>
      <c r="C119" s="23"/>
      <c r="D119" s="116"/>
      <c r="E119" s="131"/>
      <c r="F119" s="287"/>
    </row>
    <row r="120" spans="1:7" ht="18" customHeight="1">
      <c r="A120" s="202"/>
      <c r="B120" s="97" t="s">
        <v>109</v>
      </c>
      <c r="C120" s="23" t="s">
        <v>8</v>
      </c>
      <c r="D120" s="116">
        <f>D112/45</f>
        <v>2.1070888888888888</v>
      </c>
      <c r="E120" s="131">
        <v>17000</v>
      </c>
      <c r="F120" s="287">
        <f>E120*D120</f>
        <v>35820.511111111111</v>
      </c>
    </row>
    <row r="121" spans="1:7" ht="18" customHeight="1">
      <c r="A121" s="202"/>
      <c r="B121" s="97" t="s">
        <v>110</v>
      </c>
      <c r="C121" s="23" t="s">
        <v>8</v>
      </c>
      <c r="D121" s="116">
        <f>D120*2</f>
        <v>4.2141777777777776</v>
      </c>
      <c r="E121" s="131">
        <v>8000</v>
      </c>
      <c r="F121" s="287">
        <f>E121*D121</f>
        <v>33713.422222222223</v>
      </c>
    </row>
    <row r="122" spans="1:7" ht="18" customHeight="1">
      <c r="A122" s="166"/>
      <c r="B122" s="96" t="s">
        <v>111</v>
      </c>
      <c r="C122" s="28"/>
      <c r="D122" s="120"/>
      <c r="E122" s="133"/>
      <c r="F122" s="288">
        <f>SUM(F120:F121)</f>
        <v>69533.933333333334</v>
      </c>
      <c r="G122" s="324"/>
    </row>
    <row r="123" spans="1:7" ht="18" customHeight="1">
      <c r="A123" s="166"/>
      <c r="B123" s="96"/>
      <c r="C123" s="28"/>
      <c r="D123" s="120"/>
      <c r="E123" s="133"/>
      <c r="F123" s="288"/>
    </row>
    <row r="124" spans="1:7" s="59" customFormat="1" ht="18" customHeight="1">
      <c r="A124" s="168">
        <v>6</v>
      </c>
      <c r="B124" s="482" t="s">
        <v>101</v>
      </c>
      <c r="C124" s="482"/>
      <c r="D124" s="482"/>
      <c r="E124" s="482"/>
      <c r="F124" s="483"/>
    </row>
    <row r="125" spans="1:7" ht="18" customHeight="1">
      <c r="A125" s="197">
        <v>6.01</v>
      </c>
      <c r="B125" s="98" t="s">
        <v>102</v>
      </c>
      <c r="C125" s="69" t="s">
        <v>10</v>
      </c>
      <c r="D125" s="123">
        <f>(0.7*0.7*0.15)*4</f>
        <v>0.29399999999999993</v>
      </c>
      <c r="E125" s="136">
        <f>(F135+F132+F128)/D125</f>
        <v>218000.00000000003</v>
      </c>
      <c r="F125" s="289">
        <f>E125*D125</f>
        <v>64091.999999999993</v>
      </c>
    </row>
    <row r="126" spans="1:7" ht="18" customHeight="1">
      <c r="A126" s="204"/>
      <c r="B126" s="100" t="s">
        <v>2</v>
      </c>
      <c r="C126" s="56"/>
      <c r="D126" s="121"/>
      <c r="E126" s="134"/>
      <c r="F126" s="290"/>
    </row>
    <row r="127" spans="1:7" ht="18" customHeight="1">
      <c r="A127" s="204"/>
      <c r="B127" s="101" t="s">
        <v>99</v>
      </c>
      <c r="C127" s="56" t="s">
        <v>28</v>
      </c>
      <c r="D127" s="135">
        <f>D125*1.1</f>
        <v>0.32339999999999997</v>
      </c>
      <c r="E127" s="134">
        <v>180000</v>
      </c>
      <c r="F127" s="290">
        <f>E127*D127</f>
        <v>58211.999999999993</v>
      </c>
    </row>
    <row r="128" spans="1:7" s="64" customFormat="1" ht="18" customHeight="1">
      <c r="A128" s="205"/>
      <c r="B128" s="100" t="s">
        <v>100</v>
      </c>
      <c r="C128" s="57"/>
      <c r="D128" s="122"/>
      <c r="E128" s="259"/>
      <c r="F128" s="291">
        <f>SUM(F127)</f>
        <v>58211.999999999993</v>
      </c>
    </row>
    <row r="129" spans="1:7" ht="18" customHeight="1">
      <c r="A129" s="205"/>
      <c r="B129" s="100"/>
      <c r="C129" s="57"/>
      <c r="D129" s="122"/>
      <c r="E129" s="259"/>
      <c r="F129" s="291"/>
    </row>
    <row r="130" spans="1:7" ht="18" customHeight="1">
      <c r="A130" s="202"/>
      <c r="B130" s="96" t="s">
        <v>19</v>
      </c>
      <c r="C130" s="23"/>
      <c r="D130" s="116"/>
      <c r="E130" s="131"/>
      <c r="F130" s="287"/>
    </row>
    <row r="131" spans="1:7" ht="18" customHeight="1">
      <c r="A131" s="202"/>
      <c r="B131" s="97" t="s">
        <v>22</v>
      </c>
      <c r="C131" s="23" t="s">
        <v>21</v>
      </c>
      <c r="D131" s="116">
        <f>D125/6</f>
        <v>4.8999999999999988E-2</v>
      </c>
      <c r="E131" s="131">
        <v>65000</v>
      </c>
      <c r="F131" s="287">
        <f>E131*D131</f>
        <v>3184.9999999999991</v>
      </c>
    </row>
    <row r="132" spans="1:7" ht="18" customHeight="1">
      <c r="A132" s="166"/>
      <c r="B132" s="96" t="s">
        <v>112</v>
      </c>
      <c r="C132" s="28"/>
      <c r="D132" s="119"/>
      <c r="E132" s="133"/>
      <c r="F132" s="288">
        <f>SUM(F131)</f>
        <v>3184.9999999999991</v>
      </c>
    </row>
    <row r="133" spans="1:7" ht="18" customHeight="1">
      <c r="A133" s="166"/>
      <c r="B133" s="96"/>
      <c r="C133" s="28"/>
      <c r="D133" s="119"/>
      <c r="E133" s="133"/>
      <c r="F133" s="288"/>
    </row>
    <row r="134" spans="1:7" ht="18" customHeight="1">
      <c r="A134" s="204"/>
      <c r="B134" s="101" t="s">
        <v>26</v>
      </c>
      <c r="C134" s="56" t="s">
        <v>21</v>
      </c>
      <c r="D134" s="135">
        <f>D131</f>
        <v>4.8999999999999988E-2</v>
      </c>
      <c r="E134" s="134">
        <v>55000</v>
      </c>
      <c r="F134" s="290">
        <f>E134*D134</f>
        <v>2694.9999999999995</v>
      </c>
    </row>
    <row r="135" spans="1:7" ht="18" customHeight="1">
      <c r="A135" s="205"/>
      <c r="B135" s="100" t="s">
        <v>113</v>
      </c>
      <c r="C135" s="57"/>
      <c r="D135" s="122"/>
      <c r="E135" s="259"/>
      <c r="F135" s="291">
        <f>SUM(F134)</f>
        <v>2694.9999999999995</v>
      </c>
      <c r="G135" s="324"/>
    </row>
    <row r="136" spans="1:7" ht="18" customHeight="1">
      <c r="A136" s="197">
        <v>6.02</v>
      </c>
      <c r="B136" s="98" t="s">
        <v>103</v>
      </c>
      <c r="C136" s="69" t="s">
        <v>10</v>
      </c>
      <c r="D136" s="123">
        <f>(1*0.25*0.25)*4</f>
        <v>0.25</v>
      </c>
      <c r="E136" s="136">
        <f>(F146+F143+F139)/D136</f>
        <v>223920.00000000003</v>
      </c>
      <c r="F136" s="289">
        <f>E136*D136</f>
        <v>55980.000000000007</v>
      </c>
    </row>
    <row r="137" spans="1:7" s="59" customFormat="1" ht="18" customHeight="1">
      <c r="A137" s="204"/>
      <c r="B137" s="100" t="s">
        <v>2</v>
      </c>
      <c r="C137" s="56"/>
      <c r="D137" s="121"/>
      <c r="E137" s="134"/>
      <c r="F137" s="290"/>
    </row>
    <row r="138" spans="1:7" ht="18" customHeight="1">
      <c r="A138" s="204"/>
      <c r="B138" s="101" t="s">
        <v>99</v>
      </c>
      <c r="C138" s="56" t="s">
        <v>28</v>
      </c>
      <c r="D138" s="135">
        <f>D136*1.1</f>
        <v>0.27500000000000002</v>
      </c>
      <c r="E138" s="134">
        <v>200000</v>
      </c>
      <c r="F138" s="290">
        <f>E138*D138</f>
        <v>55000.000000000007</v>
      </c>
    </row>
    <row r="139" spans="1:7" ht="18" customHeight="1">
      <c r="A139" s="205"/>
      <c r="B139" s="100" t="s">
        <v>100</v>
      </c>
      <c r="C139" s="57"/>
      <c r="D139" s="122"/>
      <c r="E139" s="259"/>
      <c r="F139" s="291">
        <f>SUM(F138)</f>
        <v>55000.000000000007</v>
      </c>
    </row>
    <row r="140" spans="1:7" ht="18" customHeight="1">
      <c r="A140" s="205"/>
      <c r="B140" s="100"/>
      <c r="C140" s="57"/>
      <c r="D140" s="122"/>
      <c r="E140" s="259"/>
      <c r="F140" s="291"/>
    </row>
    <row r="141" spans="1:7" ht="18" customHeight="1">
      <c r="A141" s="202"/>
      <c r="B141" s="96" t="s">
        <v>19</v>
      </c>
      <c r="C141" s="23"/>
      <c r="D141" s="116"/>
      <c r="E141" s="131"/>
      <c r="F141" s="287"/>
    </row>
    <row r="142" spans="1:7" s="59" customFormat="1" ht="18" customHeight="1">
      <c r="A142" s="202"/>
      <c r="B142" s="97" t="s">
        <v>22</v>
      </c>
      <c r="C142" s="23" t="s">
        <v>21</v>
      </c>
      <c r="D142" s="249">
        <f>D134/6</f>
        <v>8.1666666666666641E-3</v>
      </c>
      <c r="E142" s="131">
        <v>65000</v>
      </c>
      <c r="F142" s="287">
        <f>E142*D142</f>
        <v>530.83333333333314</v>
      </c>
    </row>
    <row r="143" spans="1:7" ht="18" customHeight="1">
      <c r="A143" s="166"/>
      <c r="B143" s="96" t="s">
        <v>112</v>
      </c>
      <c r="C143" s="28"/>
      <c r="D143" s="119"/>
      <c r="E143" s="133"/>
      <c r="F143" s="288">
        <f>SUM(F142)</f>
        <v>530.83333333333314</v>
      </c>
    </row>
    <row r="144" spans="1:7" ht="18" customHeight="1">
      <c r="A144" s="166"/>
      <c r="B144" s="96"/>
      <c r="C144" s="28"/>
      <c r="D144" s="119"/>
      <c r="E144" s="133"/>
      <c r="F144" s="288"/>
    </row>
    <row r="145" spans="1:7" ht="18" customHeight="1">
      <c r="A145" s="204"/>
      <c r="B145" s="101" t="s">
        <v>26</v>
      </c>
      <c r="C145" s="56" t="s">
        <v>21</v>
      </c>
      <c r="D145" s="250">
        <f>D142</f>
        <v>8.1666666666666641E-3</v>
      </c>
      <c r="E145" s="134">
        <v>55000</v>
      </c>
      <c r="F145" s="290">
        <f>E145*D145</f>
        <v>449.16666666666652</v>
      </c>
    </row>
    <row r="146" spans="1:7" ht="18" customHeight="1">
      <c r="A146" s="205"/>
      <c r="B146" s="100" t="s">
        <v>113</v>
      </c>
      <c r="C146" s="57"/>
      <c r="D146" s="122"/>
      <c r="E146" s="259"/>
      <c r="F146" s="291">
        <f>SUM(F145)</f>
        <v>449.16666666666652</v>
      </c>
      <c r="G146" s="324"/>
    </row>
    <row r="147" spans="1:7" s="64" customFormat="1" ht="18" customHeight="1">
      <c r="A147" s="197">
        <v>6.03</v>
      </c>
      <c r="B147" s="98" t="s">
        <v>104</v>
      </c>
      <c r="C147" s="69" t="s">
        <v>10</v>
      </c>
      <c r="D147" s="123">
        <f>(3*0.25*0.25)*4</f>
        <v>0.75</v>
      </c>
      <c r="E147" s="136">
        <f>(F157+F154+F150)/D147</f>
        <v>295000.00000000006</v>
      </c>
      <c r="F147" s="289">
        <f>E147*D147</f>
        <v>221250.00000000006</v>
      </c>
    </row>
    <row r="148" spans="1:7" ht="18" customHeight="1">
      <c r="A148" s="204"/>
      <c r="B148" s="100" t="s">
        <v>2</v>
      </c>
      <c r="C148" s="56"/>
      <c r="D148" s="121"/>
      <c r="E148" s="134"/>
      <c r="F148" s="290"/>
    </row>
    <row r="149" spans="1:7" ht="18" customHeight="1">
      <c r="A149" s="204"/>
      <c r="B149" s="101" t="s">
        <v>99</v>
      </c>
      <c r="C149" s="56" t="s">
        <v>28</v>
      </c>
      <c r="D149" s="135">
        <f>D147*1.1</f>
        <v>0.82500000000000007</v>
      </c>
      <c r="E149" s="134">
        <v>250000</v>
      </c>
      <c r="F149" s="290">
        <f>E149*D149</f>
        <v>206250.00000000003</v>
      </c>
    </row>
    <row r="150" spans="1:7" ht="18" customHeight="1">
      <c r="A150" s="205"/>
      <c r="B150" s="100" t="s">
        <v>100</v>
      </c>
      <c r="C150" s="57"/>
      <c r="D150" s="122"/>
      <c r="E150" s="259"/>
      <c r="F150" s="291">
        <f>SUM(F149)</f>
        <v>206250.00000000003</v>
      </c>
    </row>
    <row r="151" spans="1:7" ht="18" customHeight="1">
      <c r="A151" s="205"/>
      <c r="B151" s="100"/>
      <c r="C151" s="57"/>
      <c r="D151" s="122"/>
      <c r="E151" s="259"/>
      <c r="F151" s="291"/>
    </row>
    <row r="152" spans="1:7" s="55" customFormat="1" ht="18" customHeight="1">
      <c r="A152" s="202"/>
      <c r="B152" s="96" t="s">
        <v>19</v>
      </c>
      <c r="C152" s="23"/>
      <c r="D152" s="116"/>
      <c r="E152" s="131"/>
      <c r="F152" s="287"/>
    </row>
    <row r="153" spans="1:7" ht="18" customHeight="1">
      <c r="A153" s="202"/>
      <c r="B153" s="97" t="s">
        <v>22</v>
      </c>
      <c r="C153" s="23" t="s">
        <v>21</v>
      </c>
      <c r="D153" s="116">
        <f>D147/6</f>
        <v>0.125</v>
      </c>
      <c r="E153" s="131">
        <v>65000</v>
      </c>
      <c r="F153" s="287">
        <f>E153*D153</f>
        <v>8125</v>
      </c>
    </row>
    <row r="154" spans="1:7" ht="18" customHeight="1">
      <c r="A154" s="166"/>
      <c r="B154" s="96" t="s">
        <v>112</v>
      </c>
      <c r="C154" s="28"/>
      <c r="D154" s="119"/>
      <c r="E154" s="133"/>
      <c r="F154" s="288">
        <f>SUM(F153)</f>
        <v>8125</v>
      </c>
    </row>
    <row r="155" spans="1:7" ht="18" customHeight="1">
      <c r="A155" s="166"/>
      <c r="B155" s="96"/>
      <c r="C155" s="28"/>
      <c r="D155" s="119"/>
      <c r="E155" s="133"/>
      <c r="F155" s="288"/>
    </row>
    <row r="156" spans="1:7" ht="18" customHeight="1">
      <c r="A156" s="204"/>
      <c r="B156" s="101" t="s">
        <v>26</v>
      </c>
      <c r="C156" s="56" t="s">
        <v>21</v>
      </c>
      <c r="D156" s="135">
        <f>D153</f>
        <v>0.125</v>
      </c>
      <c r="E156" s="134">
        <v>55000</v>
      </c>
      <c r="F156" s="290">
        <f>E156*D156</f>
        <v>6875</v>
      </c>
    </row>
    <row r="157" spans="1:7" s="59" customFormat="1" ht="18" customHeight="1">
      <c r="A157" s="205"/>
      <c r="B157" s="100" t="s">
        <v>113</v>
      </c>
      <c r="C157" s="57"/>
      <c r="D157" s="122"/>
      <c r="E157" s="259"/>
      <c r="F157" s="291">
        <f>SUM(F156)</f>
        <v>6875</v>
      </c>
      <c r="G157" s="466"/>
    </row>
    <row r="158" spans="1:7" s="59" customFormat="1" ht="18" customHeight="1">
      <c r="A158" s="205"/>
      <c r="B158" s="100"/>
      <c r="C158" s="57"/>
      <c r="D158" s="122"/>
      <c r="E158" s="259"/>
      <c r="F158" s="291"/>
    </row>
    <row r="159" spans="1:7" s="90" customFormat="1" ht="18" customHeight="1">
      <c r="A159" s="168">
        <v>7</v>
      </c>
      <c r="B159" s="478" t="s">
        <v>73</v>
      </c>
      <c r="C159" s="478"/>
      <c r="D159" s="478"/>
      <c r="E159" s="478"/>
      <c r="F159" s="479"/>
    </row>
    <row r="160" spans="1:7" ht="18" customHeight="1">
      <c r="A160" s="200">
        <v>7.01</v>
      </c>
      <c r="B160" s="16" t="s">
        <v>71</v>
      </c>
      <c r="C160" s="3" t="s">
        <v>28</v>
      </c>
      <c r="D160" s="115">
        <f>0.4*0.8*20</f>
        <v>6.4000000000000012</v>
      </c>
      <c r="E160" s="132">
        <f>(F170+F165)/D160</f>
        <v>95069.756862745111</v>
      </c>
      <c r="F160" s="158">
        <f>E160*D160</f>
        <v>608446.4439215688</v>
      </c>
    </row>
    <row r="161" spans="1:7" ht="18" customHeight="1">
      <c r="A161" s="199"/>
      <c r="B161" s="8" t="s">
        <v>29</v>
      </c>
      <c r="C161" s="9"/>
      <c r="D161" s="117"/>
      <c r="E161" s="131"/>
      <c r="F161" s="153"/>
    </row>
    <row r="162" spans="1:7" ht="18" customHeight="1">
      <c r="A162" s="199"/>
      <c r="B162" s="13" t="s">
        <v>30</v>
      </c>
      <c r="C162" s="9" t="s">
        <v>28</v>
      </c>
      <c r="D162" s="116">
        <f>D160*(10/17)*1.57</f>
        <v>5.910588235294119</v>
      </c>
      <c r="E162" s="131">
        <v>33500</v>
      </c>
      <c r="F162" s="153">
        <f>E162*D162</f>
        <v>198004.70588235298</v>
      </c>
    </row>
    <row r="163" spans="1:7" s="64" customFormat="1" ht="18" customHeight="1">
      <c r="A163" s="199"/>
      <c r="B163" s="13" t="s">
        <v>11</v>
      </c>
      <c r="C163" s="9" t="s">
        <v>31</v>
      </c>
      <c r="D163" s="116">
        <f>D160*(1/17)*1.57*(1440/50)</f>
        <v>17.022494117647064</v>
      </c>
      <c r="E163" s="131">
        <v>11200</v>
      </c>
      <c r="F163" s="153">
        <f t="shared" ref="F163:F164" si="7">E163*D163</f>
        <v>190651.93411764712</v>
      </c>
    </row>
    <row r="164" spans="1:7" ht="18" customHeight="1">
      <c r="A164" s="199"/>
      <c r="B164" s="13" t="s">
        <v>32</v>
      </c>
      <c r="C164" s="9" t="s">
        <v>28</v>
      </c>
      <c r="D164" s="116">
        <f>D160*(6/17)*1.57</f>
        <v>3.5463529411764716</v>
      </c>
      <c r="E164" s="131">
        <v>32500</v>
      </c>
      <c r="F164" s="153">
        <f t="shared" si="7"/>
        <v>115256.47058823533</v>
      </c>
    </row>
    <row r="165" spans="1:7" ht="18" customHeight="1">
      <c r="A165" s="199"/>
      <c r="B165" s="8" t="s">
        <v>5</v>
      </c>
      <c r="C165" s="9"/>
      <c r="D165" s="116"/>
      <c r="E165" s="131"/>
      <c r="F165" s="160">
        <f>SUM(F162:F164)</f>
        <v>503913.11058823543</v>
      </c>
      <c r="G165" s="67"/>
    </row>
    <row r="166" spans="1:7" ht="18" customHeight="1">
      <c r="A166" s="199"/>
      <c r="B166" s="13"/>
      <c r="C166" s="9"/>
      <c r="D166" s="116"/>
      <c r="E166" s="131"/>
      <c r="F166" s="153"/>
    </row>
    <row r="167" spans="1:7" ht="18" customHeight="1">
      <c r="A167" s="198"/>
      <c r="B167" s="8" t="s">
        <v>33</v>
      </c>
      <c r="C167" s="9"/>
      <c r="D167" s="116"/>
      <c r="E167" s="131"/>
      <c r="F167" s="153"/>
    </row>
    <row r="168" spans="1:7" ht="18" customHeight="1">
      <c r="A168" s="198"/>
      <c r="B168" s="13" t="s">
        <v>34</v>
      </c>
      <c r="C168" s="9" t="s">
        <v>21</v>
      </c>
      <c r="D168" s="116">
        <f>D160/1.5</f>
        <v>4.2666666666666675</v>
      </c>
      <c r="E168" s="131">
        <v>9500</v>
      </c>
      <c r="F168" s="153">
        <f>E168*D168</f>
        <v>40533.333333333343</v>
      </c>
    </row>
    <row r="169" spans="1:7" ht="18" customHeight="1">
      <c r="A169" s="198"/>
      <c r="B169" s="13" t="s">
        <v>7</v>
      </c>
      <c r="C169" s="9" t="s">
        <v>21</v>
      </c>
      <c r="D169" s="116">
        <f>+D168*2</f>
        <v>8.533333333333335</v>
      </c>
      <c r="E169" s="131">
        <v>7500</v>
      </c>
      <c r="F169" s="153">
        <f>E169*D169</f>
        <v>64000.000000000015</v>
      </c>
    </row>
    <row r="170" spans="1:7" ht="18" customHeight="1">
      <c r="A170" s="166"/>
      <c r="B170" s="96" t="s">
        <v>9</v>
      </c>
      <c r="C170" s="28"/>
      <c r="D170" s="119"/>
      <c r="E170" s="133"/>
      <c r="F170" s="288">
        <f>SUM(F168:F169)</f>
        <v>104533.33333333336</v>
      </c>
      <c r="G170" s="324"/>
    </row>
    <row r="171" spans="1:7" ht="18" customHeight="1">
      <c r="A171" s="197">
        <v>8.01</v>
      </c>
      <c r="B171" s="16" t="s">
        <v>35</v>
      </c>
      <c r="C171" s="35" t="s">
        <v>36</v>
      </c>
      <c r="D171" s="123">
        <f>147.6*0.25</f>
        <v>36.9</v>
      </c>
      <c r="E171" s="136">
        <f>36162/D171</f>
        <v>980</v>
      </c>
      <c r="F171" s="151">
        <f>E171*D171</f>
        <v>36162</v>
      </c>
    </row>
    <row r="172" spans="1:7" ht="18" customHeight="1">
      <c r="A172" s="199"/>
      <c r="B172" s="8" t="s">
        <v>29</v>
      </c>
      <c r="C172" s="9"/>
      <c r="D172" s="116"/>
      <c r="E172" s="131"/>
      <c r="F172" s="153"/>
    </row>
    <row r="173" spans="1:7" ht="18" customHeight="1">
      <c r="A173" s="198"/>
      <c r="B173" s="13" t="s">
        <v>37</v>
      </c>
      <c r="C173" s="9" t="s">
        <v>38</v>
      </c>
      <c r="D173" s="135">
        <f>D171</f>
        <v>36.9</v>
      </c>
      <c r="E173" s="131">
        <v>500</v>
      </c>
      <c r="F173" s="153">
        <f>E173*D173</f>
        <v>18450</v>
      </c>
    </row>
    <row r="174" spans="1:7" ht="18" customHeight="1">
      <c r="A174" s="168"/>
      <c r="B174" s="8" t="s">
        <v>5</v>
      </c>
      <c r="C174" s="12"/>
      <c r="D174" s="122"/>
      <c r="E174" s="133"/>
      <c r="F174" s="160">
        <f>SUM(F173)</f>
        <v>18450</v>
      </c>
    </row>
    <row r="175" spans="1:7" ht="18" customHeight="1">
      <c r="A175" s="198"/>
      <c r="B175" s="13"/>
      <c r="C175" s="9"/>
      <c r="D175" s="135"/>
      <c r="E175" s="131"/>
      <c r="F175" s="153"/>
    </row>
    <row r="176" spans="1:7" ht="18" customHeight="1">
      <c r="A176" s="233"/>
      <c r="B176" s="8" t="s">
        <v>33</v>
      </c>
      <c r="C176" s="9"/>
      <c r="D176" s="135"/>
      <c r="E176" s="131"/>
      <c r="F176" s="153"/>
    </row>
    <row r="177" spans="1:7" ht="18" customHeight="1">
      <c r="A177" s="198"/>
      <c r="B177" s="13" t="s">
        <v>34</v>
      </c>
      <c r="C177" s="9" t="s">
        <v>21</v>
      </c>
      <c r="D177" s="135">
        <f>D171/100</f>
        <v>0.36899999999999999</v>
      </c>
      <c r="E177" s="131">
        <v>18000</v>
      </c>
      <c r="F177" s="153">
        <f>E177*D177</f>
        <v>6642</v>
      </c>
    </row>
    <row r="178" spans="1:7" ht="18" customHeight="1">
      <c r="A178" s="198"/>
      <c r="B178" s="13" t="s">
        <v>7</v>
      </c>
      <c r="C178" s="9" t="s">
        <v>21</v>
      </c>
      <c r="D178" s="135">
        <f>+D177*2</f>
        <v>0.73799999999999999</v>
      </c>
      <c r="E178" s="131">
        <v>15000</v>
      </c>
      <c r="F178" s="153">
        <f>E178*D178</f>
        <v>11070</v>
      </c>
    </row>
    <row r="179" spans="1:7" ht="18" customHeight="1">
      <c r="A179" s="168"/>
      <c r="B179" s="8" t="s">
        <v>39</v>
      </c>
      <c r="C179" s="12"/>
      <c r="D179" s="122"/>
      <c r="E179" s="133"/>
      <c r="F179" s="160">
        <f>SUM(F177:F178)</f>
        <v>17712</v>
      </c>
      <c r="G179" s="324"/>
    </row>
    <row r="180" spans="1:7" ht="18" customHeight="1">
      <c r="A180" s="168"/>
      <c r="B180" s="8"/>
      <c r="C180" s="12"/>
      <c r="D180" s="119"/>
      <c r="E180" s="133"/>
      <c r="F180" s="160"/>
    </row>
    <row r="181" spans="1:7" s="90" customFormat="1" ht="18" customHeight="1">
      <c r="A181" s="166">
        <v>9</v>
      </c>
      <c r="B181" s="480" t="s">
        <v>72</v>
      </c>
      <c r="C181" s="480"/>
      <c r="D181" s="480"/>
      <c r="E181" s="480"/>
      <c r="F181" s="481"/>
    </row>
    <row r="182" spans="1:7" ht="18" customHeight="1">
      <c r="A182" s="197">
        <v>9.01</v>
      </c>
      <c r="B182" s="16" t="s">
        <v>40</v>
      </c>
      <c r="C182" s="3" t="s">
        <v>1</v>
      </c>
      <c r="D182" s="115">
        <f>(20*3)-(1.89+5.7)</f>
        <v>52.41</v>
      </c>
      <c r="E182" s="132">
        <f>(F193+F188)/D182</f>
        <v>15786.618208214342</v>
      </c>
      <c r="F182" s="158">
        <f>E182*D182</f>
        <v>827376.66029251367</v>
      </c>
    </row>
    <row r="183" spans="1:7" ht="18" customHeight="1">
      <c r="A183" s="201"/>
      <c r="B183" s="102"/>
      <c r="C183" s="20" t="s">
        <v>28</v>
      </c>
      <c r="D183" s="135">
        <f>D182*0.2</f>
        <v>10.481999999999999</v>
      </c>
      <c r="E183" s="465">
        <f>F182/D183</f>
        <v>78933.091041071719</v>
      </c>
      <c r="F183" s="163"/>
    </row>
    <row r="184" spans="1:7" ht="18" customHeight="1">
      <c r="A184" s="198"/>
      <c r="B184" s="8" t="s">
        <v>2</v>
      </c>
      <c r="C184" s="9"/>
      <c r="D184" s="116"/>
      <c r="E184" s="131"/>
      <c r="F184" s="153"/>
    </row>
    <row r="185" spans="1:7" ht="18" customHeight="1">
      <c r="A185" s="198"/>
      <c r="B185" s="48" t="s">
        <v>41</v>
      </c>
      <c r="C185" s="9" t="s">
        <v>31</v>
      </c>
      <c r="D185" s="116">
        <f>D183*0.2439*(1/7)*1.54*(1440/50)</f>
        <v>16.198362892800002</v>
      </c>
      <c r="E185" s="131">
        <v>11200</v>
      </c>
      <c r="F185" s="153">
        <f>E185*D185</f>
        <v>181421.66439936002</v>
      </c>
    </row>
    <row r="186" spans="1:7" ht="18" customHeight="1">
      <c r="A186" s="198"/>
      <c r="B186" s="48" t="s">
        <v>42</v>
      </c>
      <c r="C186" s="9" t="s">
        <v>28</v>
      </c>
      <c r="D186" s="116">
        <f>D183*0.2439*(6/7)*1.54</f>
        <v>3.3746589360000003</v>
      </c>
      <c r="E186" s="131">
        <v>30500</v>
      </c>
      <c r="F186" s="153">
        <f t="shared" ref="F186:F187" si="8">E186*D186</f>
        <v>102927.09754800001</v>
      </c>
    </row>
    <row r="187" spans="1:7" ht="18" customHeight="1">
      <c r="A187" s="198"/>
      <c r="B187" s="48" t="s">
        <v>43</v>
      </c>
      <c r="C187" s="9" t="s">
        <v>44</v>
      </c>
      <c r="D187" s="116">
        <f>D183*1.15/(0.235*0.1125*0.075)</f>
        <v>6079.3947990543729</v>
      </c>
      <c r="E187" s="131">
        <v>58</v>
      </c>
      <c r="F187" s="153">
        <f t="shared" si="8"/>
        <v>352604.8983451536</v>
      </c>
    </row>
    <row r="188" spans="1:7" ht="18" customHeight="1">
      <c r="A188" s="168"/>
      <c r="B188" s="60" t="s">
        <v>5</v>
      </c>
      <c r="C188" s="12"/>
      <c r="D188" s="119"/>
      <c r="E188" s="133"/>
      <c r="F188" s="160">
        <f>SUM(F185:F187)</f>
        <v>636953.66029251367</v>
      </c>
    </row>
    <row r="189" spans="1:7" ht="18" customHeight="1">
      <c r="A189" s="198"/>
      <c r="B189" s="48"/>
      <c r="C189" s="9"/>
      <c r="D189" s="116"/>
      <c r="E189" s="131"/>
      <c r="F189" s="153"/>
    </row>
    <row r="190" spans="1:7" ht="18" customHeight="1">
      <c r="A190" s="198"/>
      <c r="B190" s="8" t="s">
        <v>6</v>
      </c>
      <c r="C190" s="9"/>
      <c r="D190" s="116"/>
      <c r="E190" s="131"/>
      <c r="F190" s="153"/>
    </row>
    <row r="191" spans="1:7" ht="18" customHeight="1">
      <c r="A191" s="198"/>
      <c r="B191" s="13" t="s">
        <v>34</v>
      </c>
      <c r="C191" s="9" t="s">
        <v>8</v>
      </c>
      <c r="D191" s="116">
        <f>D183/1</f>
        <v>10.481999999999999</v>
      </c>
      <c r="E191" s="131">
        <v>6500</v>
      </c>
      <c r="F191" s="153">
        <f>E191*D191</f>
        <v>68133</v>
      </c>
    </row>
    <row r="192" spans="1:7" ht="18" customHeight="1">
      <c r="A192" s="198"/>
      <c r="B192" s="13" t="s">
        <v>7</v>
      </c>
      <c r="C192" s="9" t="s">
        <v>8</v>
      </c>
      <c r="D192" s="116">
        <f>(D183/1.2)*4</f>
        <v>34.94</v>
      </c>
      <c r="E192" s="131">
        <v>3500</v>
      </c>
      <c r="F192" s="153">
        <f>E192*D192</f>
        <v>122289.99999999999</v>
      </c>
    </row>
    <row r="193" spans="1:7" ht="18" customHeight="1">
      <c r="A193" s="172"/>
      <c r="B193" s="60" t="s">
        <v>9</v>
      </c>
      <c r="C193" s="61"/>
      <c r="D193" s="118"/>
      <c r="E193" s="275"/>
      <c r="F193" s="285">
        <f>SUM(F191:F192)</f>
        <v>190423</v>
      </c>
      <c r="G193" s="324"/>
    </row>
    <row r="194" spans="1:7" ht="18" customHeight="1">
      <c r="A194" s="172"/>
      <c r="B194" s="60"/>
      <c r="C194" s="61"/>
      <c r="D194" s="118"/>
      <c r="E194" s="275"/>
      <c r="F194" s="285"/>
    </row>
    <row r="195" spans="1:7" s="90" customFormat="1" ht="18" customHeight="1">
      <c r="A195" s="172">
        <v>10</v>
      </c>
      <c r="B195" s="476" t="s">
        <v>79</v>
      </c>
      <c r="C195" s="476"/>
      <c r="D195" s="476"/>
      <c r="E195" s="476"/>
      <c r="F195" s="477"/>
    </row>
    <row r="196" spans="1:7" ht="19.5">
      <c r="A196" s="197">
        <v>10.01</v>
      </c>
      <c r="B196" s="2" t="s">
        <v>74</v>
      </c>
      <c r="C196" s="15" t="s">
        <v>45</v>
      </c>
      <c r="D196" s="173">
        <f>3.5*0.25*0.2</f>
        <v>0.17500000000000002</v>
      </c>
      <c r="E196" s="277">
        <f>(F213+F208+F203)/D196</f>
        <v>176677.80673635309</v>
      </c>
      <c r="F196" s="158">
        <f>E196*D196</f>
        <v>30918.616178861794</v>
      </c>
    </row>
    <row r="197" spans="1:7" ht="19.5">
      <c r="A197" s="233"/>
      <c r="B197" s="175" t="s">
        <v>29</v>
      </c>
      <c r="C197" s="176"/>
      <c r="D197" s="177"/>
      <c r="E197" s="178"/>
      <c r="F197" s="179"/>
    </row>
    <row r="198" spans="1:7" ht="19.5">
      <c r="A198" s="233"/>
      <c r="B198" s="180" t="s">
        <v>14</v>
      </c>
      <c r="C198" s="18" t="s">
        <v>45</v>
      </c>
      <c r="D198" s="177">
        <f>D196*(4/7)*1.57</f>
        <v>0.15700000000000003</v>
      </c>
      <c r="E198" s="178">
        <v>48000</v>
      </c>
      <c r="F198" s="179">
        <f>E198*D198</f>
        <v>7536.0000000000018</v>
      </c>
    </row>
    <row r="199" spans="1:7" ht="19.5">
      <c r="A199" s="233"/>
      <c r="B199" s="180" t="s">
        <v>13</v>
      </c>
      <c r="C199" s="18" t="s">
        <v>45</v>
      </c>
      <c r="D199" s="177">
        <f>D196*(2/7)*1.54</f>
        <v>7.7000000000000013E-2</v>
      </c>
      <c r="E199" s="178">
        <v>36500</v>
      </c>
      <c r="F199" s="179">
        <f t="shared" ref="F199:F202" si="9">E199*D199</f>
        <v>2810.5000000000005</v>
      </c>
    </row>
    <row r="200" spans="1:7" ht="19.5">
      <c r="A200" s="233"/>
      <c r="B200" s="180" t="s">
        <v>11</v>
      </c>
      <c r="C200" s="176" t="s">
        <v>12</v>
      </c>
      <c r="D200" s="177">
        <f>D196*(1/7)*1.57*(1440/50)</f>
        <v>1.1304000000000003</v>
      </c>
      <c r="E200" s="178">
        <v>11200</v>
      </c>
      <c r="F200" s="179">
        <f t="shared" si="9"/>
        <v>12660.480000000003</v>
      </c>
    </row>
    <row r="201" spans="1:7" ht="19.5">
      <c r="A201" s="204"/>
      <c r="B201" s="101" t="s">
        <v>15</v>
      </c>
      <c r="C201" s="56" t="s">
        <v>16</v>
      </c>
      <c r="D201" s="135">
        <f>D206*10</f>
        <v>0.29166666666666669</v>
      </c>
      <c r="E201" s="134">
        <v>2200</v>
      </c>
      <c r="F201" s="179">
        <f t="shared" si="9"/>
        <v>641.66666666666674</v>
      </c>
    </row>
    <row r="202" spans="1:7" ht="19.5">
      <c r="A202" s="204"/>
      <c r="B202" s="101" t="s">
        <v>17</v>
      </c>
      <c r="C202" s="56" t="s">
        <v>16</v>
      </c>
      <c r="D202" s="135">
        <f>D207*5</f>
        <v>0.14583333333333334</v>
      </c>
      <c r="E202" s="134">
        <v>1900</v>
      </c>
      <c r="F202" s="179">
        <f t="shared" si="9"/>
        <v>277.08333333333337</v>
      </c>
    </row>
    <row r="203" spans="1:7" ht="19.5">
      <c r="A203" s="233"/>
      <c r="B203" s="175" t="s">
        <v>5</v>
      </c>
      <c r="C203" s="176"/>
      <c r="D203" s="177"/>
      <c r="E203" s="178"/>
      <c r="F203" s="292">
        <f>SUM(F198:F202)</f>
        <v>23925.730000000003</v>
      </c>
    </row>
    <row r="204" spans="1:7" ht="19.5">
      <c r="A204" s="233"/>
      <c r="B204" s="180"/>
      <c r="C204" s="176"/>
      <c r="D204" s="177"/>
      <c r="E204" s="178"/>
      <c r="F204" s="179"/>
    </row>
    <row r="205" spans="1:7" ht="19.5">
      <c r="A205" s="204"/>
      <c r="B205" s="100" t="s">
        <v>19</v>
      </c>
      <c r="C205" s="56"/>
      <c r="D205" s="135"/>
      <c r="E205" s="134"/>
      <c r="F205" s="290"/>
    </row>
    <row r="206" spans="1:7" ht="19.5">
      <c r="A206" s="204"/>
      <c r="B206" s="101" t="s">
        <v>20</v>
      </c>
      <c r="C206" s="56" t="s">
        <v>21</v>
      </c>
      <c r="D206" s="135">
        <f>D196/6</f>
        <v>2.9166666666666671E-2</v>
      </c>
      <c r="E206" s="134">
        <v>65000</v>
      </c>
      <c r="F206" s="290">
        <f>E206*D206</f>
        <v>1895.8333333333335</v>
      </c>
    </row>
    <row r="207" spans="1:7" ht="19.5">
      <c r="A207" s="204"/>
      <c r="B207" s="101" t="s">
        <v>22</v>
      </c>
      <c r="C207" s="56" t="s">
        <v>21</v>
      </c>
      <c r="D207" s="135">
        <f>D196/6</f>
        <v>2.9166666666666671E-2</v>
      </c>
      <c r="E207" s="134">
        <v>65000</v>
      </c>
      <c r="F207" s="290">
        <f>E207*D207</f>
        <v>1895.8333333333335</v>
      </c>
    </row>
    <row r="208" spans="1:7" ht="19.5">
      <c r="A208" s="205"/>
      <c r="B208" s="100" t="s">
        <v>23</v>
      </c>
      <c r="C208" s="57"/>
      <c r="D208" s="122"/>
      <c r="E208" s="259"/>
      <c r="F208" s="291">
        <f>SUM(F206:F207)</f>
        <v>3791.666666666667</v>
      </c>
    </row>
    <row r="209" spans="1:7" ht="19.5">
      <c r="A209" s="205"/>
      <c r="B209" s="100"/>
      <c r="C209" s="57"/>
      <c r="D209" s="122"/>
      <c r="E209" s="259"/>
      <c r="F209" s="291"/>
    </row>
    <row r="210" spans="1:7" ht="19.5">
      <c r="A210" s="236"/>
      <c r="B210" s="175" t="s">
        <v>33</v>
      </c>
      <c r="C210" s="176"/>
      <c r="D210" s="177"/>
      <c r="E210" s="178"/>
      <c r="F210" s="179"/>
    </row>
    <row r="211" spans="1:7" ht="19.5">
      <c r="A211" s="236"/>
      <c r="B211" s="180" t="s">
        <v>34</v>
      </c>
      <c r="C211" s="176" t="s">
        <v>21</v>
      </c>
      <c r="D211" s="177">
        <f>D196/1.64</f>
        <v>0.10670731707317074</v>
      </c>
      <c r="E211" s="131">
        <v>11000</v>
      </c>
      <c r="F211" s="179">
        <f>E211*D211</f>
        <v>1173.7804878048782</v>
      </c>
    </row>
    <row r="212" spans="1:7" ht="19.5">
      <c r="A212" s="236"/>
      <c r="B212" s="180" t="s">
        <v>7</v>
      </c>
      <c r="C212" s="176" t="s">
        <v>21</v>
      </c>
      <c r="D212" s="177">
        <f>+D211*2</f>
        <v>0.21341463414634149</v>
      </c>
      <c r="E212" s="131">
        <v>9500</v>
      </c>
      <c r="F212" s="179">
        <f>E212*D212</f>
        <v>2027.4390243902442</v>
      </c>
    </row>
    <row r="213" spans="1:7" s="63" customFormat="1" ht="19.5">
      <c r="A213" s="186"/>
      <c r="B213" s="175" t="s">
        <v>119</v>
      </c>
      <c r="C213" s="183"/>
      <c r="D213" s="184"/>
      <c r="E213" s="185"/>
      <c r="F213" s="292">
        <f>SUM(F211:F212)</f>
        <v>3201.2195121951227</v>
      </c>
      <c r="G213" s="469"/>
    </row>
    <row r="214" spans="1:7" ht="19.5">
      <c r="A214" s="236"/>
      <c r="B214" s="180"/>
      <c r="C214" s="176"/>
      <c r="D214" s="177"/>
      <c r="E214" s="178"/>
      <c r="F214" s="179"/>
    </row>
    <row r="215" spans="1:7" s="63" customFormat="1" ht="19.5">
      <c r="A215" s="186">
        <v>11</v>
      </c>
      <c r="B215" s="484" t="s">
        <v>76</v>
      </c>
      <c r="C215" s="484"/>
      <c r="D215" s="484"/>
      <c r="E215" s="484"/>
      <c r="F215" s="485"/>
    </row>
    <row r="216" spans="1:7" ht="19.5">
      <c r="A216" s="197">
        <v>11.01</v>
      </c>
      <c r="B216" s="98" t="s">
        <v>75</v>
      </c>
      <c r="C216" s="41" t="s">
        <v>36</v>
      </c>
      <c r="D216" s="115">
        <v>25</v>
      </c>
      <c r="E216" s="132">
        <f>259011/D216</f>
        <v>10360.44</v>
      </c>
      <c r="F216" s="293">
        <f>E216*D216</f>
        <v>259011</v>
      </c>
    </row>
    <row r="217" spans="1:7" ht="19.5">
      <c r="A217" s="201"/>
      <c r="B217" s="19"/>
      <c r="C217" s="20"/>
      <c r="D217" s="135">
        <f>D216*0.05</f>
        <v>1.25</v>
      </c>
      <c r="E217" s="134"/>
      <c r="F217" s="163"/>
    </row>
    <row r="218" spans="1:7" ht="19.5">
      <c r="A218" s="202"/>
      <c r="B218" s="96" t="s">
        <v>2</v>
      </c>
      <c r="C218" s="23"/>
      <c r="D218" s="116"/>
      <c r="E218" s="131"/>
      <c r="F218" s="287"/>
    </row>
    <row r="219" spans="1:7" ht="19.5">
      <c r="A219" s="199"/>
      <c r="B219" s="13" t="s">
        <v>30</v>
      </c>
      <c r="C219" s="9" t="s">
        <v>28</v>
      </c>
      <c r="D219" s="116">
        <f>D216*0.1*1.5</f>
        <v>3.75</v>
      </c>
      <c r="E219" s="131">
        <v>22500</v>
      </c>
      <c r="F219" s="153">
        <f>E219*D219</f>
        <v>84375</v>
      </c>
    </row>
    <row r="220" spans="1:7" ht="19.5">
      <c r="A220" s="202"/>
      <c r="B220" s="97" t="s">
        <v>11</v>
      </c>
      <c r="C220" s="23" t="s">
        <v>12</v>
      </c>
      <c r="D220" s="116">
        <f>D217*(1/13)*1.57*(1440/50)</f>
        <v>4.3476923076923084</v>
      </c>
      <c r="E220" s="131">
        <v>11200</v>
      </c>
      <c r="F220" s="153">
        <f t="shared" ref="F220:F222" si="10">E220*D220</f>
        <v>48694.153846153851</v>
      </c>
    </row>
    <row r="221" spans="1:7" ht="19.5">
      <c r="A221" s="202"/>
      <c r="B221" s="97" t="s">
        <v>13</v>
      </c>
      <c r="C221" s="23" t="s">
        <v>10</v>
      </c>
      <c r="D221" s="116">
        <f>D217*(4/13)*1.57</f>
        <v>0.60384615384615392</v>
      </c>
      <c r="E221" s="131">
        <v>36500</v>
      </c>
      <c r="F221" s="153">
        <f t="shared" si="10"/>
        <v>22040.384615384617</v>
      </c>
    </row>
    <row r="222" spans="1:7" ht="19.5">
      <c r="A222" s="202"/>
      <c r="B222" s="97" t="s">
        <v>14</v>
      </c>
      <c r="C222" s="23" t="s">
        <v>10</v>
      </c>
      <c r="D222" s="116">
        <f>D217*(8/13)*1.57</f>
        <v>1.2076923076923078</v>
      </c>
      <c r="E222" s="131">
        <v>43500</v>
      </c>
      <c r="F222" s="153">
        <f t="shared" si="10"/>
        <v>52534.61538461539</v>
      </c>
    </row>
    <row r="223" spans="1:7" ht="19.5">
      <c r="A223" s="166"/>
      <c r="B223" s="96" t="s">
        <v>18</v>
      </c>
      <c r="C223" s="28"/>
      <c r="D223" s="119"/>
      <c r="E223" s="131"/>
      <c r="F223" s="288">
        <f>SUM(F219:F222)</f>
        <v>207644.15384615387</v>
      </c>
    </row>
    <row r="224" spans="1:7" ht="19.5">
      <c r="A224" s="166"/>
      <c r="B224" s="96"/>
      <c r="C224" s="28"/>
      <c r="D224" s="119"/>
      <c r="E224" s="131"/>
      <c r="F224" s="288"/>
    </row>
    <row r="225" spans="1:7" ht="19.5">
      <c r="A225" s="204"/>
      <c r="B225" s="100" t="s">
        <v>19</v>
      </c>
      <c r="C225" s="56"/>
      <c r="D225" s="135"/>
      <c r="F225" s="290"/>
    </row>
    <row r="226" spans="1:7" ht="19.5">
      <c r="A226" s="204"/>
      <c r="B226" s="101" t="s">
        <v>20</v>
      </c>
      <c r="C226" s="56" t="s">
        <v>21</v>
      </c>
      <c r="D226" s="135">
        <f>D212/6</f>
        <v>3.5569105691056917E-2</v>
      </c>
      <c r="E226" s="131">
        <v>8500</v>
      </c>
      <c r="F226" s="290">
        <f>E226*D226</f>
        <v>302.33739837398377</v>
      </c>
    </row>
    <row r="227" spans="1:7" ht="19.5">
      <c r="A227" s="204"/>
      <c r="B227" s="101" t="s">
        <v>22</v>
      </c>
      <c r="C227" s="56" t="s">
        <v>21</v>
      </c>
      <c r="D227" s="135">
        <f>D212/6</f>
        <v>3.5569105691056917E-2</v>
      </c>
      <c r="E227" s="131">
        <v>6500</v>
      </c>
      <c r="F227" s="290">
        <f>E227*D227</f>
        <v>231.19918699186996</v>
      </c>
    </row>
    <row r="228" spans="1:7" ht="19.5">
      <c r="A228" s="205"/>
      <c r="B228" s="100" t="s">
        <v>23</v>
      </c>
      <c r="C228" s="57"/>
      <c r="D228" s="122"/>
      <c r="E228" s="259"/>
      <c r="F228" s="291">
        <f>SUM(F226:F227)</f>
        <v>533.53658536585374</v>
      </c>
    </row>
    <row r="229" spans="1:7" ht="19.5">
      <c r="A229" s="204"/>
      <c r="B229" s="101"/>
      <c r="C229" s="56"/>
      <c r="D229" s="135"/>
      <c r="E229" s="131"/>
      <c r="F229" s="290"/>
    </row>
    <row r="230" spans="1:7" ht="19.5">
      <c r="A230" s="202"/>
      <c r="B230" s="96" t="s">
        <v>6</v>
      </c>
      <c r="C230" s="23"/>
      <c r="D230" s="116"/>
      <c r="E230" s="131"/>
      <c r="F230" s="287"/>
    </row>
    <row r="231" spans="1:7" ht="19.5">
      <c r="A231" s="202"/>
      <c r="B231" s="97" t="s">
        <v>24</v>
      </c>
      <c r="C231" s="23" t="s">
        <v>21</v>
      </c>
      <c r="D231" s="116">
        <f>(D217/6)*2</f>
        <v>0.41666666666666669</v>
      </c>
      <c r="E231" s="131">
        <v>18500</v>
      </c>
      <c r="F231" s="287">
        <f>E231*D231</f>
        <v>7708.3333333333339</v>
      </c>
    </row>
    <row r="232" spans="1:7" ht="19.5">
      <c r="A232" s="202"/>
      <c r="B232" s="97" t="s">
        <v>25</v>
      </c>
      <c r="C232" s="23" t="s">
        <v>21</v>
      </c>
      <c r="D232" s="116">
        <f>(D217/6)*18</f>
        <v>3.75</v>
      </c>
      <c r="E232" s="131">
        <v>11500</v>
      </c>
      <c r="F232" s="287">
        <f>E232*D232</f>
        <v>43125</v>
      </c>
    </row>
    <row r="233" spans="1:7" ht="19.5">
      <c r="A233" s="166"/>
      <c r="B233" s="96" t="s">
        <v>27</v>
      </c>
      <c r="C233" s="28"/>
      <c r="D233" s="119"/>
      <c r="E233" s="133"/>
      <c r="F233" s="288">
        <f>SUM(F231:F232)</f>
        <v>50833.333333333336</v>
      </c>
      <c r="G233" s="324"/>
    </row>
    <row r="234" spans="1:7" ht="19.5">
      <c r="A234" s="202"/>
      <c r="B234" s="97"/>
      <c r="C234" s="23"/>
      <c r="D234" s="116"/>
      <c r="E234" s="131"/>
      <c r="F234" s="287"/>
    </row>
    <row r="235" spans="1:7" ht="19.5">
      <c r="A235" s="197">
        <v>12.01</v>
      </c>
      <c r="B235" s="2" t="s">
        <v>46</v>
      </c>
      <c r="C235" s="65" t="s">
        <v>47</v>
      </c>
      <c r="D235" s="124">
        <v>25</v>
      </c>
      <c r="E235" s="278">
        <f>(F239+F244)/D235</f>
        <v>4266.9761333333336</v>
      </c>
      <c r="F235" s="151">
        <f>E235*D235</f>
        <v>106674.40333333334</v>
      </c>
    </row>
    <row r="236" spans="1:7" ht="19.5">
      <c r="A236" s="199"/>
      <c r="B236" s="60" t="s">
        <v>2</v>
      </c>
      <c r="C236" s="44"/>
      <c r="D236" s="125"/>
      <c r="E236" s="279"/>
      <c r="F236" s="153"/>
    </row>
    <row r="237" spans="1:7" ht="19.5">
      <c r="A237" s="199"/>
      <c r="B237" s="48" t="s">
        <v>11</v>
      </c>
      <c r="C237" s="44" t="s">
        <v>12</v>
      </c>
      <c r="D237" s="125">
        <f>D235*(1/6)*0.032*(1440/50)*1.54</f>
        <v>5.9135999999999989</v>
      </c>
      <c r="E237" s="279">
        <v>11200</v>
      </c>
      <c r="F237" s="153">
        <f>E237*D237</f>
        <v>66232.319999999992</v>
      </c>
    </row>
    <row r="238" spans="1:7" ht="19.5">
      <c r="A238" s="199"/>
      <c r="B238" s="48" t="s">
        <v>13</v>
      </c>
      <c r="C238" s="44" t="s">
        <v>10</v>
      </c>
      <c r="D238" s="125">
        <f>D235*(5/6)*0.032*1.54</f>
        <v>1.0266666666666668</v>
      </c>
      <c r="E238" s="279">
        <v>36500</v>
      </c>
      <c r="F238" s="153">
        <f>E238*D238</f>
        <v>37473.333333333343</v>
      </c>
    </row>
    <row r="239" spans="1:7" ht="19.5">
      <c r="A239" s="166"/>
      <c r="B239" s="96" t="s">
        <v>5</v>
      </c>
      <c r="C239" s="28"/>
      <c r="D239" s="119"/>
      <c r="E239" s="259"/>
      <c r="F239" s="288">
        <f>SUM(F237:F238)</f>
        <v>103705.65333333334</v>
      </c>
    </row>
    <row r="240" spans="1:7" ht="19.5">
      <c r="A240" s="202"/>
      <c r="B240" s="97"/>
      <c r="C240" s="23"/>
      <c r="D240" s="116"/>
      <c r="E240" s="131"/>
      <c r="F240" s="287"/>
    </row>
    <row r="241" spans="1:7" ht="19.5">
      <c r="A241" s="202"/>
      <c r="B241" s="96" t="s">
        <v>6</v>
      </c>
      <c r="C241" s="23"/>
      <c r="D241" s="116"/>
      <c r="E241" s="131"/>
      <c r="F241" s="287"/>
    </row>
    <row r="242" spans="1:7" ht="19.5">
      <c r="A242" s="202"/>
      <c r="B242" s="97" t="s">
        <v>34</v>
      </c>
      <c r="C242" s="23" t="s">
        <v>8</v>
      </c>
      <c r="D242" s="116">
        <f>D235/16</f>
        <v>1.5625</v>
      </c>
      <c r="E242" s="131">
        <v>900</v>
      </c>
      <c r="F242" s="287">
        <f>E242*D242</f>
        <v>1406.25</v>
      </c>
    </row>
    <row r="243" spans="1:7" ht="19.5">
      <c r="A243" s="202"/>
      <c r="B243" s="97" t="s">
        <v>7</v>
      </c>
      <c r="C243" s="23" t="s">
        <v>8</v>
      </c>
      <c r="D243" s="116">
        <f>D242*2</f>
        <v>3.125</v>
      </c>
      <c r="E243" s="131">
        <v>500</v>
      </c>
      <c r="F243" s="287">
        <f>E243*D243</f>
        <v>1562.5</v>
      </c>
    </row>
    <row r="244" spans="1:7" ht="19.5">
      <c r="A244" s="166"/>
      <c r="B244" s="96" t="s">
        <v>9</v>
      </c>
      <c r="C244" s="28"/>
      <c r="D244" s="119"/>
      <c r="E244" s="133"/>
      <c r="F244" s="288">
        <f>SUM(F242:F243)</f>
        <v>2968.75</v>
      </c>
      <c r="G244" s="324"/>
    </row>
    <row r="245" spans="1:7" ht="19.5">
      <c r="A245" s="166"/>
      <c r="B245" s="96"/>
      <c r="C245" s="28"/>
      <c r="D245" s="119"/>
      <c r="E245" s="133"/>
      <c r="F245" s="288"/>
    </row>
    <row r="246" spans="1:7" s="90" customFormat="1" ht="19.5">
      <c r="A246" s="166">
        <v>13</v>
      </c>
      <c r="B246" s="480" t="s">
        <v>48</v>
      </c>
      <c r="C246" s="480"/>
      <c r="D246" s="480"/>
      <c r="E246" s="480"/>
      <c r="F246" s="481"/>
    </row>
    <row r="247" spans="1:7" ht="19.5">
      <c r="A247" s="203">
        <v>13.01</v>
      </c>
      <c r="B247" s="16" t="s">
        <v>49</v>
      </c>
      <c r="C247" s="35" t="s">
        <v>50</v>
      </c>
      <c r="D247" s="123">
        <f>(20*3)-(1.89+5.7)</f>
        <v>52.41</v>
      </c>
      <c r="E247" s="136">
        <f>(F256+F251)/D247</f>
        <v>2514.7471999999998</v>
      </c>
      <c r="F247" s="151">
        <f>E247*D247</f>
        <v>131797.90075199999</v>
      </c>
    </row>
    <row r="248" spans="1:7" ht="19.5">
      <c r="A248" s="202"/>
      <c r="B248" s="60" t="s">
        <v>51</v>
      </c>
      <c r="C248" s="44"/>
      <c r="D248" s="116"/>
      <c r="E248" s="131"/>
      <c r="F248" s="153"/>
    </row>
    <row r="249" spans="1:7" ht="19.5">
      <c r="A249" s="201"/>
      <c r="B249" s="48" t="s">
        <v>52</v>
      </c>
      <c r="C249" s="44" t="s">
        <v>12</v>
      </c>
      <c r="D249" s="116">
        <f>D247*0.015*(1/5)*1.54*(1440/50)</f>
        <v>6.9734649599999994</v>
      </c>
      <c r="E249" s="279">
        <v>11200</v>
      </c>
      <c r="F249" s="153">
        <f>E249*D249</f>
        <v>78102.807551999998</v>
      </c>
    </row>
    <row r="250" spans="1:7" ht="19.5">
      <c r="A250" s="237"/>
      <c r="B250" s="48" t="s">
        <v>13</v>
      </c>
      <c r="C250" s="44" t="s">
        <v>28</v>
      </c>
      <c r="D250" s="116">
        <f>D247*0.015*1.54*(4/5)</f>
        <v>0.96853679999999986</v>
      </c>
      <c r="E250" s="279">
        <v>36500</v>
      </c>
      <c r="F250" s="153">
        <f>E250*D250</f>
        <v>35351.593199999996</v>
      </c>
    </row>
    <row r="251" spans="1:7" ht="19.5">
      <c r="A251" s="190"/>
      <c r="B251" s="60" t="s">
        <v>5</v>
      </c>
      <c r="C251" s="61"/>
      <c r="D251" s="119"/>
      <c r="E251" s="259"/>
      <c r="F251" s="160">
        <f>SUM(F249:F250)</f>
        <v>113454.40075199999</v>
      </c>
    </row>
    <row r="252" spans="1:7" ht="19.5">
      <c r="A252" s="237"/>
      <c r="B252" s="48"/>
      <c r="C252" s="44"/>
      <c r="D252" s="116"/>
      <c r="E252" s="131"/>
      <c r="F252" s="153"/>
    </row>
    <row r="253" spans="1:7" ht="19.5">
      <c r="A253" s="237"/>
      <c r="B253" s="60" t="s">
        <v>53</v>
      </c>
      <c r="C253" s="44"/>
      <c r="D253" s="116"/>
      <c r="E253" s="131"/>
      <c r="F253" s="153"/>
    </row>
    <row r="254" spans="1:7" ht="19.5">
      <c r="A254" s="237"/>
      <c r="B254" s="48" t="s">
        <v>34</v>
      </c>
      <c r="C254" s="44" t="s">
        <v>8</v>
      </c>
      <c r="D254" s="116">
        <f>D247/10</f>
        <v>5.2409999999999997</v>
      </c>
      <c r="E254" s="131">
        <v>1500</v>
      </c>
      <c r="F254" s="153">
        <f>E254*D254</f>
        <v>7861.4999999999991</v>
      </c>
    </row>
    <row r="255" spans="1:7" ht="19.5">
      <c r="A255" s="237"/>
      <c r="B255" s="48" t="s">
        <v>7</v>
      </c>
      <c r="C255" s="44" t="s">
        <v>8</v>
      </c>
      <c r="D255" s="116">
        <f>D254*4</f>
        <v>20.963999999999999</v>
      </c>
      <c r="E255" s="131">
        <v>500</v>
      </c>
      <c r="F255" s="153">
        <f>E255*D255</f>
        <v>10482</v>
      </c>
    </row>
    <row r="256" spans="1:7" ht="19.5">
      <c r="A256" s="190"/>
      <c r="B256" s="96" t="s">
        <v>54</v>
      </c>
      <c r="C256" s="61"/>
      <c r="D256" s="119"/>
      <c r="E256" s="133"/>
      <c r="F256" s="160">
        <f>SUM(F254:F255)</f>
        <v>18343.5</v>
      </c>
      <c r="G256" s="324"/>
    </row>
    <row r="257" spans="1:7" ht="19.5">
      <c r="A257" s="198"/>
      <c r="B257" s="48"/>
      <c r="C257" s="44"/>
      <c r="D257" s="116"/>
      <c r="E257" s="131"/>
      <c r="F257" s="153"/>
    </row>
    <row r="258" spans="1:7" s="90" customFormat="1" ht="19.5">
      <c r="A258" s="190">
        <v>14</v>
      </c>
      <c r="B258" s="103" t="s">
        <v>55</v>
      </c>
      <c r="C258" s="94"/>
      <c r="D258" s="127"/>
      <c r="E258" s="280"/>
      <c r="F258" s="294"/>
    </row>
    <row r="259" spans="1:7" ht="19.5">
      <c r="A259" s="239">
        <v>14.01</v>
      </c>
      <c r="B259" s="16" t="s">
        <v>49</v>
      </c>
      <c r="C259" s="35" t="s">
        <v>1</v>
      </c>
      <c r="D259" s="123">
        <f>D247</f>
        <v>52.41</v>
      </c>
      <c r="E259" s="136">
        <f>(F267+F272)/D259</f>
        <v>3217.7418431597025</v>
      </c>
      <c r="F259" s="151">
        <f>E259*D259</f>
        <v>168641.85</v>
      </c>
    </row>
    <row r="260" spans="1:7" ht="19.5">
      <c r="A260" s="198"/>
      <c r="B260" s="60" t="s">
        <v>2</v>
      </c>
      <c r="C260" s="44"/>
      <c r="D260" s="116"/>
      <c r="E260" s="131"/>
      <c r="F260" s="153"/>
    </row>
    <row r="261" spans="1:7" ht="19.5">
      <c r="A261" s="240"/>
      <c r="B261" s="48" t="s">
        <v>56</v>
      </c>
      <c r="C261" s="44" t="s">
        <v>57</v>
      </c>
      <c r="D261" s="116">
        <f>D259*0.07*3</f>
        <v>11.0061</v>
      </c>
      <c r="E261" s="131">
        <f>106000/D261</f>
        <v>9631.0227964492424</v>
      </c>
      <c r="F261" s="153">
        <f>E261*D261</f>
        <v>106000</v>
      </c>
    </row>
    <row r="262" spans="1:7" ht="19.5">
      <c r="A262" s="237"/>
      <c r="B262" s="48" t="str">
        <f>'[1]Emulsion Paint'!$B$19</f>
        <v>Induit/undercoat ( 2 coats)</v>
      </c>
      <c r="C262" s="44" t="s">
        <v>57</v>
      </c>
      <c r="D262" s="116">
        <f>D259*0.07*2</f>
        <v>7.3374000000000006</v>
      </c>
      <c r="E262" s="131">
        <f>21500/D262</f>
        <v>2930.1932564668682</v>
      </c>
      <c r="F262" s="153">
        <f t="shared" ref="F262:F266" si="11">E262*D262</f>
        <v>21500</v>
      </c>
    </row>
    <row r="263" spans="1:7" ht="19.5">
      <c r="A263" s="237"/>
      <c r="B263" s="48" t="str">
        <f>'[1]Emulsion Paint'!$B$24</f>
        <v>Roller</v>
      </c>
      <c r="C263" s="44" t="s">
        <v>44</v>
      </c>
      <c r="D263" s="116">
        <f>D259/100</f>
        <v>0.52410000000000001</v>
      </c>
      <c r="E263" s="131">
        <v>4500</v>
      </c>
      <c r="F263" s="153">
        <f t="shared" si="11"/>
        <v>2358.4500000000003</v>
      </c>
    </row>
    <row r="264" spans="1:7" ht="19.5">
      <c r="A264" s="237"/>
      <c r="B264" s="48" t="str">
        <f>'[1]Emulsion Paint'!$B$23</f>
        <v>Brush</v>
      </c>
      <c r="C264" s="44" t="s">
        <v>44</v>
      </c>
      <c r="D264" s="116">
        <f>D259/100</f>
        <v>0.52410000000000001</v>
      </c>
      <c r="E264" s="131">
        <v>4500</v>
      </c>
      <c r="F264" s="153">
        <f t="shared" si="11"/>
        <v>2358.4500000000003</v>
      </c>
    </row>
    <row r="265" spans="1:7" ht="19.5">
      <c r="A265" s="237"/>
      <c r="B265" s="48" t="s">
        <v>58</v>
      </c>
      <c r="C265" s="44" t="s">
        <v>59</v>
      </c>
      <c r="D265" s="116">
        <f>D259/100</f>
        <v>0.52410000000000001</v>
      </c>
      <c r="E265" s="131">
        <v>3500</v>
      </c>
      <c r="F265" s="153">
        <f t="shared" si="11"/>
        <v>1834.3500000000001</v>
      </c>
    </row>
    <row r="266" spans="1:7" ht="19.5">
      <c r="A266" s="237"/>
      <c r="B266" s="48" t="s">
        <v>60</v>
      </c>
      <c r="C266" s="44" t="s">
        <v>44</v>
      </c>
      <c r="D266" s="116">
        <f>D259/50</f>
        <v>1.0482</v>
      </c>
      <c r="E266" s="131">
        <v>3500</v>
      </c>
      <c r="F266" s="153">
        <f t="shared" si="11"/>
        <v>3668.7000000000003</v>
      </c>
    </row>
    <row r="267" spans="1:7" ht="19.5">
      <c r="A267" s="190"/>
      <c r="B267" s="60" t="s">
        <v>61</v>
      </c>
      <c r="C267" s="61"/>
      <c r="D267" s="119"/>
      <c r="E267" s="133"/>
      <c r="F267" s="160">
        <f>SUM(F261:F266)</f>
        <v>137719.95000000001</v>
      </c>
    </row>
    <row r="268" spans="1:7" ht="19.5">
      <c r="A268" s="237"/>
      <c r="B268" s="48"/>
      <c r="C268" s="44"/>
      <c r="D268" s="116"/>
      <c r="E268" s="131"/>
      <c r="F268" s="153"/>
    </row>
    <row r="269" spans="1:7" ht="19.5">
      <c r="A269" s="237"/>
      <c r="B269" s="60" t="s">
        <v>6</v>
      </c>
      <c r="C269" s="44"/>
      <c r="D269" s="116"/>
      <c r="E269" s="131"/>
      <c r="F269" s="153"/>
    </row>
    <row r="270" spans="1:7" ht="19.5">
      <c r="A270" s="237"/>
      <c r="B270" s="48" t="s">
        <v>7</v>
      </c>
      <c r="C270" s="44" t="s">
        <v>62</v>
      </c>
      <c r="D270" s="116">
        <f>D271</f>
        <v>3.8652374999999997</v>
      </c>
      <c r="E270" s="131">
        <v>1500</v>
      </c>
      <c r="F270" s="153">
        <f>E270*D270</f>
        <v>5797.8562499999998</v>
      </c>
    </row>
    <row r="271" spans="1:7" ht="19.5">
      <c r="A271" s="237"/>
      <c r="B271" s="48" t="s">
        <v>63</v>
      </c>
      <c r="C271" s="44" t="s">
        <v>62</v>
      </c>
      <c r="D271" s="116">
        <f>D259*(0.59/8)</f>
        <v>3.8652374999999997</v>
      </c>
      <c r="E271" s="131">
        <v>6500</v>
      </c>
      <c r="F271" s="153">
        <f>E271*D271</f>
        <v>25124.043749999997</v>
      </c>
    </row>
    <row r="272" spans="1:7" ht="19.5">
      <c r="A272" s="166"/>
      <c r="B272" s="96" t="s">
        <v>9</v>
      </c>
      <c r="C272" s="28"/>
      <c r="D272" s="119"/>
      <c r="E272" s="133"/>
      <c r="F272" s="288">
        <f>SUM(F270:F271)</f>
        <v>30921.899999999998</v>
      </c>
      <c r="G272" s="324"/>
    </row>
    <row r="273" spans="1:7" ht="19.5">
      <c r="A273" s="241"/>
      <c r="B273" s="105"/>
      <c r="C273" s="47"/>
      <c r="D273" s="126"/>
      <c r="E273" s="139"/>
      <c r="F273" s="295"/>
    </row>
    <row r="274" spans="1:7" s="90" customFormat="1" ht="19.5">
      <c r="A274" s="166">
        <v>15</v>
      </c>
      <c r="B274" s="480" t="s">
        <v>126</v>
      </c>
      <c r="C274" s="480"/>
      <c r="D274" s="480"/>
      <c r="E274" s="480"/>
      <c r="F274" s="481"/>
    </row>
    <row r="275" spans="1:7" ht="19.5">
      <c r="A275" s="203">
        <v>15.01</v>
      </c>
      <c r="B275" s="34" t="s">
        <v>64</v>
      </c>
      <c r="C275" s="35" t="s">
        <v>50</v>
      </c>
      <c r="D275" s="123">
        <f>D247</f>
        <v>52.41</v>
      </c>
      <c r="E275" s="136">
        <f>(F280+F285)/D275</f>
        <v>3536.377433333334</v>
      </c>
      <c r="F275" s="151">
        <f>E275*D275</f>
        <v>185341.54128100001</v>
      </c>
    </row>
    <row r="276" spans="1:7" ht="19.5">
      <c r="A276" s="202"/>
      <c r="B276" s="60" t="s">
        <v>51</v>
      </c>
      <c r="C276" s="44"/>
      <c r="D276" s="116"/>
      <c r="E276" s="131"/>
      <c r="F276" s="153"/>
    </row>
    <row r="277" spans="1:7" ht="19.5">
      <c r="A277" s="201"/>
      <c r="B277" s="48" t="s">
        <v>52</v>
      </c>
      <c r="C277" s="44" t="s">
        <v>12</v>
      </c>
      <c r="D277" s="116">
        <f>D275*0.01*(1/4)*1.54*(1440/50)+(D275*0.003*(1/6)*1.57*(1440/50))</f>
        <v>6.9961060799999997</v>
      </c>
      <c r="E277" s="279">
        <v>11200</v>
      </c>
      <c r="F277" s="153">
        <f>E277*D277</f>
        <v>78356.388095999995</v>
      </c>
    </row>
    <row r="278" spans="1:7" ht="19.5">
      <c r="A278" s="237"/>
      <c r="B278" s="48" t="s">
        <v>13</v>
      </c>
      <c r="C278" s="44" t="s">
        <v>28</v>
      </c>
      <c r="D278" s="116">
        <f>D275*0.01*1.5*1.54*(3/4)</f>
        <v>0.90800325000000004</v>
      </c>
      <c r="E278" s="279">
        <v>36500</v>
      </c>
      <c r="F278" s="153">
        <f>E278*D278</f>
        <v>33142.118625000003</v>
      </c>
    </row>
    <row r="279" spans="1:7" ht="19.5">
      <c r="A279" s="237"/>
      <c r="B279" s="48" t="s">
        <v>65</v>
      </c>
      <c r="C279" s="44" t="s">
        <v>31</v>
      </c>
      <c r="D279" s="116">
        <f>D275*0.003*(5/6)*1.57*(1440/50)</f>
        <v>5.9244264000000006</v>
      </c>
      <c r="E279" s="134">
        <v>10400</v>
      </c>
      <c r="F279" s="153">
        <f>E279*D279</f>
        <v>61614.034560000007</v>
      </c>
    </row>
    <row r="280" spans="1:7" ht="19.5">
      <c r="A280" s="92"/>
      <c r="B280" s="48" t="s">
        <v>5</v>
      </c>
      <c r="C280" s="44"/>
      <c r="D280" s="116"/>
      <c r="E280" s="131"/>
      <c r="F280" s="160">
        <f>SUM(F277:F279)</f>
        <v>173112.54128100001</v>
      </c>
      <c r="G280" s="324"/>
    </row>
    <row r="281" spans="1:7" ht="19.5">
      <c r="A281" s="92"/>
      <c r="B281" s="48"/>
      <c r="C281" s="44"/>
      <c r="D281" s="116"/>
      <c r="E281" s="131"/>
      <c r="F281" s="153"/>
    </row>
    <row r="282" spans="1:7" ht="19.5">
      <c r="A282" s="92"/>
      <c r="B282" s="60" t="s">
        <v>53</v>
      </c>
      <c r="C282" s="44"/>
      <c r="D282" s="116"/>
      <c r="F282" s="153"/>
    </row>
    <row r="283" spans="1:7" ht="19.5">
      <c r="A283" s="92"/>
      <c r="B283" s="48" t="s">
        <v>34</v>
      </c>
      <c r="C283" s="44" t="s">
        <v>8</v>
      </c>
      <c r="D283" s="116">
        <f>D275/15</f>
        <v>3.4939999999999998</v>
      </c>
      <c r="E283" s="131">
        <v>1500</v>
      </c>
      <c r="F283" s="153">
        <f>E283*D283</f>
        <v>5241</v>
      </c>
    </row>
    <row r="284" spans="1:7" ht="19.5">
      <c r="A284" s="92"/>
      <c r="B284" s="48" t="s">
        <v>7</v>
      </c>
      <c r="C284" s="44" t="s">
        <v>8</v>
      </c>
      <c r="D284" s="116">
        <f>D283*4</f>
        <v>13.975999999999999</v>
      </c>
      <c r="E284" s="131">
        <v>500</v>
      </c>
      <c r="F284" s="153">
        <f>E284*D284</f>
        <v>6988</v>
      </c>
    </row>
    <row r="285" spans="1:7" ht="19.5">
      <c r="A285" s="93"/>
      <c r="B285" s="96" t="s">
        <v>54</v>
      </c>
      <c r="C285" s="61"/>
      <c r="D285" s="119"/>
      <c r="E285" s="133"/>
      <c r="F285" s="160">
        <f>SUM(F283:F284)</f>
        <v>12229</v>
      </c>
    </row>
    <row r="286" spans="1:7" ht="19.5">
      <c r="A286" s="91"/>
      <c r="B286" s="97"/>
      <c r="C286" s="23"/>
      <c r="D286" s="116"/>
      <c r="E286" s="131"/>
      <c r="F286" s="287"/>
    </row>
    <row r="287" spans="1:7" ht="19.7" customHeight="1">
      <c r="A287" s="84">
        <v>16</v>
      </c>
      <c r="B287" s="480" t="s">
        <v>143</v>
      </c>
      <c r="C287" s="480"/>
      <c r="D287" s="480"/>
      <c r="E287" s="480"/>
      <c r="F287" s="481"/>
    </row>
    <row r="288" spans="1:7" ht="19.5">
      <c r="A288" s="206">
        <v>16.010000000000002</v>
      </c>
      <c r="B288" s="16" t="s">
        <v>66</v>
      </c>
      <c r="C288" s="35" t="s">
        <v>1</v>
      </c>
      <c r="D288" s="136">
        <f>D275+D247</f>
        <v>104.82</v>
      </c>
      <c r="E288" s="136">
        <f>497635/D288</f>
        <v>4747.5195573363862</v>
      </c>
      <c r="F288" s="151">
        <f>E288*D288</f>
        <v>497635</v>
      </c>
    </row>
    <row r="289" spans="1:7" ht="19.5">
      <c r="A289" s="91"/>
      <c r="B289" s="60" t="s">
        <v>2</v>
      </c>
      <c r="C289" s="44"/>
      <c r="D289" s="131"/>
      <c r="E289" s="131"/>
      <c r="F289" s="153"/>
    </row>
    <row r="290" spans="1:7" ht="19.5">
      <c r="A290" s="91"/>
      <c r="B290" s="48" t="str">
        <f>'[1]Emulsion Paint'!$B$22</f>
        <v>Emulsion paint ( 3 coats)</v>
      </c>
      <c r="C290" s="44" t="s">
        <v>57</v>
      </c>
      <c r="D290" s="131">
        <f>D288*0.07*3</f>
        <v>22.0122</v>
      </c>
      <c r="E290" s="131">
        <f>115000/D290</f>
        <v>5224.3755735455788</v>
      </c>
      <c r="F290" s="153">
        <f>E290*D290</f>
        <v>114999.99999999999</v>
      </c>
    </row>
    <row r="291" spans="1:7" ht="19.5">
      <c r="A291" s="229"/>
      <c r="B291" s="48" t="str">
        <f>'[1]Emulsion Paint'!$B$20</f>
        <v>Whiting/stucco ( 2 coats)</v>
      </c>
      <c r="C291" s="44" t="s">
        <v>67</v>
      </c>
      <c r="D291" s="131">
        <f>D288*((50*2)/65)*2</f>
        <v>322.52307692307693</v>
      </c>
      <c r="E291" s="131">
        <f>145000/D291</f>
        <v>449.58023278000383</v>
      </c>
      <c r="F291" s="153">
        <f t="shared" ref="F291:F297" si="12">E291*D291</f>
        <v>145000</v>
      </c>
    </row>
    <row r="292" spans="1:7" ht="19.5">
      <c r="A292" s="92"/>
      <c r="B292" s="48" t="str">
        <f>'[1]Emulsion Paint'!$B$19</f>
        <v>Induit/undercoat ( 2 coats)</v>
      </c>
      <c r="C292" s="44" t="s">
        <v>57</v>
      </c>
      <c r="D292" s="131">
        <f>D288*0.07*2</f>
        <v>14.674800000000001</v>
      </c>
      <c r="E292" s="131">
        <v>1100</v>
      </c>
      <c r="F292" s="153">
        <f t="shared" si="12"/>
        <v>16142.28</v>
      </c>
    </row>
    <row r="293" spans="1:7" ht="19.5">
      <c r="A293" s="92"/>
      <c r="B293" s="48" t="s">
        <v>68</v>
      </c>
      <c r="C293" s="44" t="s">
        <v>57</v>
      </c>
      <c r="D293" s="131">
        <f>D288*((30/65)*2)</f>
        <v>96.756923076923073</v>
      </c>
      <c r="E293" s="131">
        <v>1100</v>
      </c>
      <c r="F293" s="153">
        <f t="shared" si="12"/>
        <v>106432.61538461538</v>
      </c>
    </row>
    <row r="294" spans="1:7" ht="19.5">
      <c r="A294" s="92"/>
      <c r="B294" s="48" t="str">
        <f>'[1]Emulsion Paint'!$B$21</f>
        <v>Colle</v>
      </c>
      <c r="C294" s="44" t="s">
        <v>69</v>
      </c>
      <c r="D294" s="131">
        <f>D288*((1/65)*2)</f>
        <v>3.2252307692307691</v>
      </c>
      <c r="E294" s="131">
        <v>3500</v>
      </c>
      <c r="F294" s="153">
        <f t="shared" si="12"/>
        <v>11288.307692307691</v>
      </c>
    </row>
    <row r="295" spans="1:7" ht="19.5">
      <c r="A295" s="92"/>
      <c r="B295" s="48" t="str">
        <f>'[1]Emulsion Paint'!$B$24</f>
        <v>Roller</v>
      </c>
      <c r="C295" s="44" t="s">
        <v>44</v>
      </c>
      <c r="D295" s="116">
        <f>D288/100</f>
        <v>1.0482</v>
      </c>
      <c r="E295" s="131">
        <v>3500</v>
      </c>
      <c r="F295" s="153">
        <f t="shared" si="12"/>
        <v>3668.7000000000003</v>
      </c>
    </row>
    <row r="296" spans="1:7" ht="19.5">
      <c r="A296" s="92"/>
      <c r="B296" s="48" t="str">
        <f>'[1]Emulsion Paint'!$B$23</f>
        <v>Brush</v>
      </c>
      <c r="C296" s="44" t="s">
        <v>44</v>
      </c>
      <c r="D296" s="116">
        <f>D288/100</f>
        <v>1.0482</v>
      </c>
      <c r="E296" s="131">
        <v>3500</v>
      </c>
      <c r="F296" s="153">
        <f t="shared" si="12"/>
        <v>3668.7000000000003</v>
      </c>
    </row>
    <row r="297" spans="1:7" ht="19.5">
      <c r="A297" s="92"/>
      <c r="B297" s="48" t="s">
        <v>58</v>
      </c>
      <c r="C297" s="44" t="s">
        <v>59</v>
      </c>
      <c r="D297" s="116">
        <f>D288/100</f>
        <v>1.0482</v>
      </c>
      <c r="E297" s="131">
        <v>3500</v>
      </c>
      <c r="F297" s="153">
        <f t="shared" si="12"/>
        <v>3668.7000000000003</v>
      </c>
    </row>
    <row r="298" spans="1:7" ht="19.5">
      <c r="A298" s="93"/>
      <c r="B298" s="60" t="s">
        <v>5</v>
      </c>
      <c r="C298" s="61"/>
      <c r="D298" s="119"/>
      <c r="E298" s="131"/>
      <c r="F298" s="160">
        <f>SUM(F290:F297)</f>
        <v>404869.30307692313</v>
      </c>
    </row>
    <row r="299" spans="1:7" ht="19.5">
      <c r="A299" s="92"/>
      <c r="B299" s="48"/>
      <c r="C299" s="44"/>
      <c r="D299" s="116"/>
      <c r="F299" s="153"/>
    </row>
    <row r="300" spans="1:7" ht="19.5">
      <c r="A300" s="92"/>
      <c r="B300" s="60" t="s">
        <v>6</v>
      </c>
      <c r="C300" s="44"/>
      <c r="D300" s="131"/>
      <c r="F300" s="153"/>
    </row>
    <row r="301" spans="1:7" ht="19.5">
      <c r="A301" s="92"/>
      <c r="B301" s="48" t="s">
        <v>7</v>
      </c>
      <c r="C301" s="44" t="s">
        <v>62</v>
      </c>
      <c r="D301" s="131">
        <f>D302</f>
        <v>7.7304749999999993</v>
      </c>
      <c r="E301" s="131">
        <v>5500</v>
      </c>
      <c r="F301" s="153">
        <f>E301*D301</f>
        <v>42517.612499999996</v>
      </c>
    </row>
    <row r="302" spans="1:7" ht="19.5">
      <c r="A302" s="92"/>
      <c r="B302" s="48" t="s">
        <v>70</v>
      </c>
      <c r="C302" s="44" t="s">
        <v>62</v>
      </c>
      <c r="D302" s="131">
        <f>D288*(0.59/8)</f>
        <v>7.7304749999999993</v>
      </c>
      <c r="E302" s="131">
        <v>6500</v>
      </c>
      <c r="F302" s="153">
        <f>E302*D302</f>
        <v>50248.087499999994</v>
      </c>
    </row>
    <row r="303" spans="1:7" ht="19.5">
      <c r="A303" s="93"/>
      <c r="B303" s="60" t="s">
        <v>54</v>
      </c>
      <c r="C303" s="61"/>
      <c r="D303" s="133"/>
      <c r="E303" s="133"/>
      <c r="F303" s="160">
        <f>SUM(F301:F302)</f>
        <v>92765.699999999983</v>
      </c>
      <c r="G303" s="324"/>
    </row>
    <row r="304" spans="1:7" ht="19.5">
      <c r="A304" s="93"/>
      <c r="B304" s="60"/>
      <c r="C304" s="61"/>
      <c r="D304" s="133"/>
      <c r="E304" s="133"/>
      <c r="F304" s="160"/>
    </row>
    <row r="305" spans="1:7" ht="37.5" customHeight="1">
      <c r="A305" s="315">
        <v>17</v>
      </c>
      <c r="B305" s="471" t="s">
        <v>133</v>
      </c>
      <c r="C305" s="471"/>
      <c r="D305" s="471"/>
      <c r="E305" s="471"/>
      <c r="F305" s="472"/>
    </row>
    <row r="306" spans="1:7" ht="19.5">
      <c r="A306" s="1">
        <v>17.010000000000002</v>
      </c>
      <c r="B306" s="2" t="s">
        <v>130</v>
      </c>
      <c r="C306" s="270" t="s">
        <v>131</v>
      </c>
      <c r="D306" s="268">
        <v>2</v>
      </c>
      <c r="E306" s="132">
        <f>207480/D306</f>
        <v>103740</v>
      </c>
      <c r="F306" s="158">
        <f>E306*D306</f>
        <v>207480</v>
      </c>
    </row>
    <row r="307" spans="1:7" ht="19.5">
      <c r="A307" s="227"/>
      <c r="B307" s="8" t="s">
        <v>29</v>
      </c>
      <c r="C307" s="9"/>
      <c r="D307" s="131"/>
      <c r="E307" s="131"/>
      <c r="F307" s="153"/>
    </row>
    <row r="308" spans="1:7" ht="19.5">
      <c r="A308" s="86"/>
      <c r="B308" s="13" t="s">
        <v>145</v>
      </c>
      <c r="C308" s="9" t="s">
        <v>146</v>
      </c>
      <c r="D308" s="131">
        <f>D306</f>
        <v>2</v>
      </c>
      <c r="E308" s="131">
        <f>28000*(1.9*1.5)</f>
        <v>79799.999999999985</v>
      </c>
      <c r="F308" s="153">
        <f>E308*D308</f>
        <v>159599.99999999997</v>
      </c>
    </row>
    <row r="309" spans="1:7" ht="19.5">
      <c r="A309" s="87"/>
      <c r="B309" s="8" t="s">
        <v>5</v>
      </c>
      <c r="C309" s="12"/>
      <c r="D309" s="133"/>
      <c r="E309" s="133"/>
      <c r="F309" s="160">
        <f>SUM(F308)</f>
        <v>159599.99999999997</v>
      </c>
    </row>
    <row r="310" spans="1:7" ht="19.5">
      <c r="A310" s="86"/>
      <c r="B310" s="13"/>
      <c r="C310" s="9"/>
      <c r="D310" s="131"/>
      <c r="E310" s="131"/>
      <c r="F310" s="153"/>
    </row>
    <row r="311" spans="1:7" ht="19.5">
      <c r="A311" s="228"/>
      <c r="B311" s="8" t="s">
        <v>33</v>
      </c>
      <c r="C311" s="9"/>
      <c r="D311" s="131"/>
      <c r="E311" s="131"/>
      <c r="F311" s="153"/>
    </row>
    <row r="312" spans="1:7" ht="19.5">
      <c r="A312" s="86"/>
      <c r="B312" s="13" t="s">
        <v>34</v>
      </c>
      <c r="C312" s="9" t="s">
        <v>21</v>
      </c>
      <c r="D312" s="116">
        <f>D308/2</f>
        <v>1</v>
      </c>
      <c r="E312" s="131">
        <f>E308*0.15</f>
        <v>11969.999999999998</v>
      </c>
      <c r="F312" s="153">
        <f>E312*D312</f>
        <v>11969.999999999998</v>
      </c>
    </row>
    <row r="313" spans="1:7" ht="19.5">
      <c r="A313" s="86"/>
      <c r="B313" s="13" t="s">
        <v>7</v>
      </c>
      <c r="C313" s="9" t="s">
        <v>21</v>
      </c>
      <c r="D313" s="116">
        <f>+D312*4</f>
        <v>4</v>
      </c>
      <c r="E313" s="131">
        <f>E312*1.5/2</f>
        <v>8977.4999999999982</v>
      </c>
      <c r="F313" s="153">
        <f>E313*D313</f>
        <v>35909.999999999993</v>
      </c>
    </row>
    <row r="314" spans="1:7" ht="19.5">
      <c r="A314" s="87"/>
      <c r="B314" s="8" t="s">
        <v>39</v>
      </c>
      <c r="C314" s="12"/>
      <c r="D314" s="133"/>
      <c r="E314" s="133"/>
      <c r="F314" s="160">
        <f>SUM(F312:F313)</f>
        <v>47879.999999999993</v>
      </c>
      <c r="G314" s="324"/>
    </row>
    <row r="315" spans="1:7">
      <c r="A315" s="316"/>
      <c r="B315" s="48"/>
      <c r="C315" s="305"/>
      <c r="D315" s="317"/>
      <c r="E315" s="307"/>
      <c r="F315" s="308"/>
    </row>
    <row r="316" spans="1:7" ht="36" customHeight="1">
      <c r="A316" s="315">
        <v>18</v>
      </c>
      <c r="B316" s="471" t="s">
        <v>134</v>
      </c>
      <c r="C316" s="471"/>
      <c r="D316" s="471"/>
      <c r="E316" s="471"/>
      <c r="F316" s="472"/>
    </row>
    <row r="317" spans="1:7" ht="19.5">
      <c r="A317" s="1">
        <v>18.010000000000002</v>
      </c>
      <c r="B317" s="2" t="s">
        <v>167</v>
      </c>
      <c r="C317" s="270" t="s">
        <v>131</v>
      </c>
      <c r="D317" s="268">
        <v>1</v>
      </c>
      <c r="E317" s="282">
        <f>159705</f>
        <v>159705</v>
      </c>
      <c r="F317" s="318">
        <f>E317*D317</f>
        <v>159705</v>
      </c>
    </row>
    <row r="318" spans="1:7" ht="19.5">
      <c r="A318" s="227"/>
      <c r="B318" s="8" t="s">
        <v>29</v>
      </c>
      <c r="C318" s="9"/>
      <c r="D318" s="131"/>
      <c r="E318" s="131"/>
      <c r="F318" s="153"/>
    </row>
    <row r="319" spans="1:7" ht="19.5">
      <c r="A319" s="86"/>
      <c r="B319" s="48" t="s">
        <v>165</v>
      </c>
      <c r="C319" s="248" t="s">
        <v>131</v>
      </c>
      <c r="D319" s="267">
        <v>1</v>
      </c>
      <c r="E319" s="131">
        <f>65000*(0.9*2.1)</f>
        <v>122850.00000000001</v>
      </c>
      <c r="F319" s="310">
        <f>E319*D319</f>
        <v>122850.00000000001</v>
      </c>
    </row>
    <row r="320" spans="1:7" ht="19.5">
      <c r="A320" s="86"/>
      <c r="B320" s="8" t="s">
        <v>5</v>
      </c>
      <c r="C320" s="12"/>
      <c r="D320" s="133"/>
      <c r="E320" s="133"/>
      <c r="F320" s="160">
        <f>SUM(F319)</f>
        <v>122850.00000000001</v>
      </c>
    </row>
    <row r="321" spans="1:7" ht="19.5">
      <c r="A321" s="228"/>
      <c r="B321" s="13"/>
      <c r="C321" s="9"/>
      <c r="D321" s="131"/>
      <c r="E321" s="131"/>
      <c r="F321" s="153"/>
    </row>
    <row r="322" spans="1:7" ht="19.5">
      <c r="A322" s="86"/>
      <c r="B322" s="8" t="s">
        <v>33</v>
      </c>
      <c r="C322" s="9"/>
      <c r="D322" s="131"/>
      <c r="E322" s="131"/>
      <c r="F322" s="153"/>
    </row>
    <row r="323" spans="1:7" ht="19.5">
      <c r="A323" s="86"/>
      <c r="B323" s="13" t="s">
        <v>34</v>
      </c>
      <c r="C323" s="9" t="s">
        <v>21</v>
      </c>
      <c r="D323" s="116">
        <f>D317/2</f>
        <v>0.5</v>
      </c>
      <c r="E323" s="131">
        <f>E319*0.15</f>
        <v>18427.5</v>
      </c>
      <c r="F323" s="153">
        <f>E323*D323</f>
        <v>9213.75</v>
      </c>
    </row>
    <row r="324" spans="1:7" ht="19.5">
      <c r="A324" s="87"/>
      <c r="B324" s="13" t="s">
        <v>7</v>
      </c>
      <c r="C324" s="9" t="s">
        <v>21</v>
      </c>
      <c r="D324" s="116">
        <f>+D323*4</f>
        <v>2</v>
      </c>
      <c r="E324" s="131">
        <f>E323*1.5/2</f>
        <v>13820.625</v>
      </c>
      <c r="F324" s="153">
        <f>E324*D324</f>
        <v>27641.25</v>
      </c>
    </row>
    <row r="325" spans="1:7" ht="16.5">
      <c r="A325" s="311"/>
      <c r="B325" s="312" t="s">
        <v>39</v>
      </c>
      <c r="C325" s="242"/>
      <c r="D325" s="195"/>
      <c r="E325" s="195"/>
      <c r="F325" s="196">
        <f>SUM(F323:F324)</f>
        <v>36855</v>
      </c>
      <c r="G325" s="324"/>
    </row>
    <row r="326" spans="1:7" s="340" customFormat="1" ht="37.5">
      <c r="A326" s="338"/>
      <c r="B326" s="473" t="s">
        <v>179</v>
      </c>
      <c r="C326" s="473"/>
      <c r="D326" s="473"/>
      <c r="E326" s="473"/>
      <c r="F326" s="339">
        <f>F317+F306+F288+F275+F259+F247+F235+F216+F196+F182+F171+F160+F147+F136+F125+F112+F100+F89+F78+F58+F40+F30+F22+F14+F7+F3</f>
        <v>4831034.4065285083</v>
      </c>
    </row>
  </sheetData>
  <mergeCells count="15">
    <mergeCell ref="B305:F305"/>
    <mergeCell ref="B316:F316"/>
    <mergeCell ref="B326:E326"/>
    <mergeCell ref="B2:F2"/>
    <mergeCell ref="B13:F13"/>
    <mergeCell ref="B39:F39"/>
    <mergeCell ref="B77:F77"/>
    <mergeCell ref="B124:F124"/>
    <mergeCell ref="B287:F287"/>
    <mergeCell ref="B274:F274"/>
    <mergeCell ref="B246:F246"/>
    <mergeCell ref="B159:F159"/>
    <mergeCell ref="B181:F181"/>
    <mergeCell ref="B195:F195"/>
    <mergeCell ref="B215:F215"/>
  </mergeCells>
  <pageMargins left="0.7" right="0.7" top="0.75" bottom="0.75" header="0.3" footer="0.3"/>
  <ignoredErrors>
    <ignoredError sqref="F6 F21 F57 F88 F99 F135 F146 F170 F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6"/>
  <sheetViews>
    <sheetView topLeftCell="A315" workbookViewId="0">
      <selection activeCell="E317" sqref="E317:E324"/>
    </sheetView>
  </sheetViews>
  <sheetFormatPr defaultColWidth="8.85546875" defaultRowHeight="15.75"/>
  <cols>
    <col min="1" max="1" width="8.85546875" style="230"/>
    <col min="2" max="2" width="72.140625" style="106" customWidth="1"/>
    <col min="3" max="3" width="8.85546875" style="108"/>
    <col min="4" max="4" width="18.5703125" style="143" customWidth="1"/>
    <col min="5" max="5" width="20.42578125" style="324" customWidth="1"/>
    <col min="6" max="6" width="29.85546875" style="281" bestFit="1" customWidth="1"/>
    <col min="7" max="7" width="10.85546875" bestFit="1" customWidth="1"/>
  </cols>
  <sheetData>
    <row r="1" spans="1:6" s="70" customFormat="1" ht="35.450000000000003" customHeight="1">
      <c r="A1" s="226"/>
      <c r="B1" s="148" t="s">
        <v>120</v>
      </c>
      <c r="C1" s="148" t="s">
        <v>121</v>
      </c>
      <c r="D1" s="148" t="s">
        <v>122</v>
      </c>
      <c r="E1" s="297" t="s">
        <v>123</v>
      </c>
      <c r="F1" s="299" t="s">
        <v>124</v>
      </c>
    </row>
    <row r="2" spans="1:6" ht="20.45" customHeight="1">
      <c r="A2" s="149">
        <v>1</v>
      </c>
      <c r="B2" s="474" t="s">
        <v>93</v>
      </c>
      <c r="C2" s="474"/>
      <c r="D2" s="474"/>
      <c r="E2" s="474"/>
      <c r="F2" s="475"/>
    </row>
    <row r="3" spans="1:6" ht="19.5" customHeight="1">
      <c r="A3" s="197">
        <v>1.01</v>
      </c>
      <c r="B3" s="16" t="s">
        <v>94</v>
      </c>
      <c r="C3" s="35" t="s">
        <v>28</v>
      </c>
      <c r="D3" s="123">
        <f>34*0.8*0.4</f>
        <v>10.880000000000003</v>
      </c>
      <c r="E3" s="136">
        <f>F6/D3</f>
        <v>1555.5555555555557</v>
      </c>
      <c r="F3" s="151">
        <f>E3*D3</f>
        <v>16924.444444444449</v>
      </c>
    </row>
    <row r="4" spans="1:6" ht="19.5" customHeight="1">
      <c r="A4" s="198"/>
      <c r="B4" s="8" t="s">
        <v>6</v>
      </c>
      <c r="C4" s="9"/>
      <c r="D4" s="112"/>
      <c r="E4" s="131"/>
      <c r="F4" s="153"/>
    </row>
    <row r="5" spans="1:6" ht="19.5" customHeight="1">
      <c r="A5" s="198"/>
      <c r="B5" s="13" t="s">
        <v>7</v>
      </c>
      <c r="C5" s="9" t="s">
        <v>8</v>
      </c>
      <c r="D5" s="116">
        <f>D3/0.9</f>
        <v>12.088888888888892</v>
      </c>
      <c r="E5" s="131">
        <v>1400</v>
      </c>
      <c r="F5" s="153">
        <f>E5*D5</f>
        <v>16924.444444444449</v>
      </c>
    </row>
    <row r="6" spans="1:6" ht="19.5" customHeight="1">
      <c r="A6" s="172"/>
      <c r="B6" s="60" t="s">
        <v>9</v>
      </c>
      <c r="C6" s="61"/>
      <c r="D6" s="118"/>
      <c r="E6" s="275"/>
      <c r="F6" s="285">
        <f>SUM(F5)</f>
        <v>16924.444444444449</v>
      </c>
    </row>
    <row r="7" spans="1:6" ht="19.5" customHeight="1">
      <c r="A7" s="197">
        <v>1.03</v>
      </c>
      <c r="B7" s="16" t="s">
        <v>114</v>
      </c>
      <c r="C7" s="35" t="s">
        <v>28</v>
      </c>
      <c r="D7" s="129">
        <f>(0.75*0.75*1.25)*8</f>
        <v>5.625</v>
      </c>
      <c r="E7" s="136">
        <f>F11/D7</f>
        <v>1611.1111111111111</v>
      </c>
      <c r="F7" s="151">
        <f>E7*D7</f>
        <v>9062.5</v>
      </c>
    </row>
    <row r="8" spans="1:6" ht="19.5" customHeight="1">
      <c r="A8" s="198"/>
      <c r="B8" s="8" t="s">
        <v>6</v>
      </c>
      <c r="C8" s="9"/>
      <c r="D8" s="116"/>
      <c r="E8" s="131"/>
      <c r="F8" s="153"/>
    </row>
    <row r="9" spans="1:6" ht="19.5" customHeight="1">
      <c r="A9" s="198"/>
      <c r="B9" s="13" t="s">
        <v>92</v>
      </c>
      <c r="C9" s="9" t="s">
        <v>8</v>
      </c>
      <c r="D9" s="116">
        <f>D10/10</f>
        <v>0.625</v>
      </c>
      <c r="E9" s="131">
        <v>2500</v>
      </c>
      <c r="F9" s="153">
        <f>E9*D9</f>
        <v>1562.5</v>
      </c>
    </row>
    <row r="10" spans="1:6" ht="19.5" customHeight="1">
      <c r="A10" s="198"/>
      <c r="B10" s="13" t="s">
        <v>7</v>
      </c>
      <c r="C10" s="9" t="s">
        <v>8</v>
      </c>
      <c r="D10" s="116">
        <f>D7/0.9</f>
        <v>6.25</v>
      </c>
      <c r="E10" s="131">
        <v>1200</v>
      </c>
      <c r="F10" s="153">
        <f>E10*D10</f>
        <v>7500</v>
      </c>
    </row>
    <row r="11" spans="1:6" ht="19.5" customHeight="1">
      <c r="A11" s="172"/>
      <c r="B11" s="60" t="s">
        <v>9</v>
      </c>
      <c r="C11" s="61"/>
      <c r="D11" s="113"/>
      <c r="E11" s="275"/>
      <c r="F11" s="285">
        <f>SUM(F9:F10)</f>
        <v>9062.5</v>
      </c>
    </row>
    <row r="12" spans="1:6" ht="19.5" customHeight="1">
      <c r="A12" s="199"/>
      <c r="B12" s="60"/>
      <c r="C12" s="44"/>
      <c r="D12" s="114"/>
      <c r="E12" s="276"/>
      <c r="F12" s="286"/>
    </row>
    <row r="13" spans="1:6" ht="37.700000000000003" customHeight="1">
      <c r="A13" s="156">
        <v>2</v>
      </c>
      <c r="B13" s="476" t="s">
        <v>0</v>
      </c>
      <c r="C13" s="476"/>
      <c r="D13" s="476"/>
      <c r="E13" s="476"/>
      <c r="F13" s="477"/>
    </row>
    <row r="14" spans="1:6" ht="19.5" customHeight="1">
      <c r="A14" s="200">
        <v>2.0099999999999998</v>
      </c>
      <c r="B14" s="2" t="s">
        <v>71</v>
      </c>
      <c r="C14" s="3" t="s">
        <v>1</v>
      </c>
      <c r="D14" s="115">
        <f>34*0.4</f>
        <v>13.600000000000001</v>
      </c>
      <c r="E14" s="132">
        <f>(F21+F17)/D14</f>
        <v>1008.3333333333333</v>
      </c>
      <c r="F14" s="158">
        <f>E14*D14</f>
        <v>13713.333333333334</v>
      </c>
    </row>
    <row r="15" spans="1:6" ht="19.5" customHeight="1">
      <c r="A15" s="198"/>
      <c r="B15" s="8" t="s">
        <v>2</v>
      </c>
      <c r="C15" s="9"/>
      <c r="D15" s="116"/>
      <c r="E15" s="131"/>
      <c r="F15" s="153"/>
    </row>
    <row r="16" spans="1:6" ht="19.5" customHeight="1">
      <c r="A16" s="198"/>
      <c r="B16" s="48" t="s">
        <v>3</v>
      </c>
      <c r="C16" s="9" t="s">
        <v>4</v>
      </c>
      <c r="D16" s="116">
        <f>D14/10</f>
        <v>1.36</v>
      </c>
      <c r="E16" s="131">
        <v>8500</v>
      </c>
      <c r="F16" s="153">
        <f>E16*D16</f>
        <v>11560</v>
      </c>
    </row>
    <row r="17" spans="1:6" ht="19.5" customHeight="1">
      <c r="A17" s="168"/>
      <c r="B17" s="60" t="s">
        <v>5</v>
      </c>
      <c r="C17" s="12"/>
      <c r="D17" s="119"/>
      <c r="E17" s="133"/>
      <c r="F17" s="160">
        <f>SUM(F16)</f>
        <v>11560</v>
      </c>
    </row>
    <row r="18" spans="1:6" ht="19.5" customHeight="1">
      <c r="A18" s="198"/>
      <c r="B18" s="48"/>
      <c r="C18" s="9"/>
      <c r="D18" s="116"/>
      <c r="E18" s="131"/>
      <c r="F18" s="153"/>
    </row>
    <row r="19" spans="1:6" ht="19.5" customHeight="1">
      <c r="A19" s="198"/>
      <c r="B19" s="8" t="s">
        <v>6</v>
      </c>
      <c r="C19" s="9"/>
      <c r="D19" s="116"/>
      <c r="E19" s="131"/>
      <c r="F19" s="153"/>
    </row>
    <row r="20" spans="1:6" ht="19.5" customHeight="1">
      <c r="A20" s="198"/>
      <c r="B20" s="13" t="s">
        <v>7</v>
      </c>
      <c r="C20" s="9" t="s">
        <v>8</v>
      </c>
      <c r="D20" s="116">
        <f>D14/60</f>
        <v>0.22666666666666668</v>
      </c>
      <c r="E20" s="131">
        <v>9500</v>
      </c>
      <c r="F20" s="153">
        <f>E20*D20</f>
        <v>2153.3333333333335</v>
      </c>
    </row>
    <row r="21" spans="1:6" ht="19.5" customHeight="1">
      <c r="A21" s="172"/>
      <c r="B21" s="60" t="s">
        <v>9</v>
      </c>
      <c r="C21" s="61"/>
      <c r="D21" s="118"/>
      <c r="E21" s="275"/>
      <c r="F21" s="285">
        <f>SUM(F20)</f>
        <v>2153.3333333333335</v>
      </c>
    </row>
    <row r="22" spans="1:6" ht="19.5" customHeight="1">
      <c r="A22" s="200">
        <v>2.02</v>
      </c>
      <c r="B22" s="2" t="s">
        <v>97</v>
      </c>
      <c r="C22" s="3" t="s">
        <v>1</v>
      </c>
      <c r="D22" s="115">
        <v>72</v>
      </c>
      <c r="E22" s="132">
        <f>(F29+F25)/D22</f>
        <v>741.66666666666663</v>
      </c>
      <c r="F22" s="158">
        <f>E22*D22</f>
        <v>53400</v>
      </c>
    </row>
    <row r="23" spans="1:6" ht="19.5" customHeight="1">
      <c r="A23" s="198"/>
      <c r="B23" s="8" t="s">
        <v>2</v>
      </c>
      <c r="C23" s="9"/>
      <c r="D23" s="116"/>
      <c r="E23" s="131"/>
      <c r="F23" s="153"/>
    </row>
    <row r="24" spans="1:6" ht="19.5" customHeight="1">
      <c r="A24" s="198"/>
      <c r="B24" s="48" t="s">
        <v>3</v>
      </c>
      <c r="C24" s="9" t="s">
        <v>4</v>
      </c>
      <c r="D24" s="116">
        <f>D22/10</f>
        <v>7.2</v>
      </c>
      <c r="E24" s="131">
        <v>6500</v>
      </c>
      <c r="F24" s="153">
        <f>E24*D24</f>
        <v>46800</v>
      </c>
    </row>
    <row r="25" spans="1:6" ht="19.5" customHeight="1">
      <c r="A25" s="168"/>
      <c r="B25" s="60" t="s">
        <v>5</v>
      </c>
      <c r="C25" s="12"/>
      <c r="D25" s="119"/>
      <c r="E25" s="133"/>
      <c r="F25" s="160">
        <f>SUM(F24)</f>
        <v>46800</v>
      </c>
    </row>
    <row r="26" spans="1:6" ht="19.5" customHeight="1">
      <c r="A26" s="198"/>
      <c r="B26" s="48"/>
      <c r="C26" s="9"/>
      <c r="D26" s="116"/>
      <c r="E26" s="131"/>
      <c r="F26" s="153"/>
    </row>
    <row r="27" spans="1:6" ht="19.5" customHeight="1">
      <c r="A27" s="198"/>
      <c r="B27" s="8" t="s">
        <v>6</v>
      </c>
      <c r="C27" s="9"/>
      <c r="D27" s="116"/>
      <c r="E27" s="131"/>
      <c r="F27" s="153"/>
    </row>
    <row r="28" spans="1:6" ht="19.5" customHeight="1">
      <c r="A28" s="198"/>
      <c r="B28" s="13" t="s">
        <v>7</v>
      </c>
      <c r="C28" s="9" t="s">
        <v>8</v>
      </c>
      <c r="D28" s="116">
        <f>D22/60</f>
        <v>1.2</v>
      </c>
      <c r="E28" s="131">
        <v>5500</v>
      </c>
      <c r="F28" s="153">
        <f>E28*D28</f>
        <v>6600</v>
      </c>
    </row>
    <row r="29" spans="1:6" ht="19.5" customHeight="1">
      <c r="A29" s="172"/>
      <c r="B29" s="60" t="s">
        <v>9</v>
      </c>
      <c r="C29" s="61"/>
      <c r="D29" s="118"/>
      <c r="E29" s="275"/>
      <c r="F29" s="285">
        <f>SUM(F28)</f>
        <v>6600</v>
      </c>
    </row>
    <row r="30" spans="1:6" ht="19.5" customHeight="1">
      <c r="A30" s="197">
        <v>2.0299999999999998</v>
      </c>
      <c r="B30" s="16" t="s">
        <v>96</v>
      </c>
      <c r="C30" s="35" t="s">
        <v>1</v>
      </c>
      <c r="D30" s="123">
        <f>(0.75*0.75)*8</f>
        <v>4.5</v>
      </c>
      <c r="E30" s="136">
        <f>(F37+F33)/D30</f>
        <v>941.66666666666663</v>
      </c>
      <c r="F30" s="151">
        <f>E30*D30</f>
        <v>4237.5</v>
      </c>
    </row>
    <row r="31" spans="1:6" ht="19.5" customHeight="1">
      <c r="A31" s="198"/>
      <c r="B31" s="8" t="s">
        <v>2</v>
      </c>
      <c r="C31" s="9"/>
      <c r="D31" s="116"/>
      <c r="E31" s="131"/>
      <c r="F31" s="153"/>
    </row>
    <row r="32" spans="1:6" ht="19.5" customHeight="1">
      <c r="A32" s="198"/>
      <c r="B32" s="48" t="s">
        <v>3</v>
      </c>
      <c r="C32" s="9" t="s">
        <v>4</v>
      </c>
      <c r="D32" s="116">
        <f>D30/10</f>
        <v>0.45</v>
      </c>
      <c r="E32" s="131">
        <v>8500</v>
      </c>
      <c r="F32" s="153">
        <f>E32*D32</f>
        <v>3825</v>
      </c>
    </row>
    <row r="33" spans="1:6" ht="19.5" customHeight="1">
      <c r="A33" s="168"/>
      <c r="B33" s="60" t="s">
        <v>5</v>
      </c>
      <c r="C33" s="12"/>
      <c r="D33" s="119"/>
      <c r="E33" s="133"/>
      <c r="F33" s="160">
        <f>SUM(F32)</f>
        <v>3825</v>
      </c>
    </row>
    <row r="34" spans="1:6" ht="19.5" customHeight="1">
      <c r="A34" s="168"/>
      <c r="B34" s="60"/>
      <c r="C34" s="12"/>
      <c r="D34" s="119"/>
      <c r="E34" s="133"/>
      <c r="F34" s="160"/>
    </row>
    <row r="35" spans="1:6" ht="19.5" customHeight="1">
      <c r="A35" s="198"/>
      <c r="B35" s="8" t="s">
        <v>6</v>
      </c>
      <c r="C35" s="9"/>
      <c r="D35" s="116"/>
      <c r="E35" s="131"/>
      <c r="F35" s="153"/>
    </row>
    <row r="36" spans="1:6" ht="19.5" customHeight="1">
      <c r="A36" s="198"/>
      <c r="B36" s="13" t="s">
        <v>7</v>
      </c>
      <c r="C36" s="9" t="s">
        <v>8</v>
      </c>
      <c r="D36" s="116">
        <f>D30/60</f>
        <v>7.4999999999999997E-2</v>
      </c>
      <c r="E36" s="131">
        <v>5500</v>
      </c>
      <c r="F36" s="153">
        <f>E36*D36</f>
        <v>412.5</v>
      </c>
    </row>
    <row r="37" spans="1:6" ht="19.5" customHeight="1">
      <c r="A37" s="172"/>
      <c r="B37" s="60" t="s">
        <v>9</v>
      </c>
      <c r="C37" s="61"/>
      <c r="D37" s="118"/>
      <c r="E37" s="275"/>
      <c r="F37" s="285">
        <f>SUM(F36)</f>
        <v>412.5</v>
      </c>
    </row>
    <row r="38" spans="1:6" ht="19.5" customHeight="1">
      <c r="A38" s="172"/>
      <c r="B38" s="60"/>
      <c r="C38" s="61"/>
      <c r="D38" s="113"/>
      <c r="E38" s="275"/>
      <c r="F38" s="285"/>
    </row>
    <row r="39" spans="1:6" ht="19.5" customHeight="1">
      <c r="A39" s="161">
        <v>3</v>
      </c>
      <c r="B39" s="478" t="s">
        <v>77</v>
      </c>
      <c r="C39" s="478"/>
      <c r="D39" s="478"/>
      <c r="E39" s="478"/>
      <c r="F39" s="479"/>
    </row>
    <row r="40" spans="1:6" ht="19.5" customHeight="1">
      <c r="A40" s="197">
        <v>3.01</v>
      </c>
      <c r="B40" s="16" t="s">
        <v>71</v>
      </c>
      <c r="C40" s="3" t="s">
        <v>1</v>
      </c>
      <c r="D40" s="115">
        <f>34*0.4</f>
        <v>13.600000000000001</v>
      </c>
      <c r="E40" s="132">
        <f>(F47+F51+F57)/D40</f>
        <v>4468.2969230769249</v>
      </c>
      <c r="F40" s="158">
        <f>E40*D40</f>
        <v>60768.838153846184</v>
      </c>
    </row>
    <row r="41" spans="1:6" ht="19.5" customHeight="1">
      <c r="A41" s="201"/>
      <c r="B41" s="19"/>
      <c r="C41" s="20" t="s">
        <v>10</v>
      </c>
      <c r="D41" s="135">
        <f>D40*0.05</f>
        <v>0.68000000000000016</v>
      </c>
      <c r="E41" s="134">
        <f>F40/D41</f>
        <v>89365.938461538477</v>
      </c>
      <c r="F41" s="163"/>
    </row>
    <row r="42" spans="1:6" ht="19.5" customHeight="1">
      <c r="A42" s="202"/>
      <c r="B42" s="96" t="s">
        <v>2</v>
      </c>
      <c r="C42" s="23"/>
      <c r="D42" s="116"/>
      <c r="E42" s="131"/>
      <c r="F42" s="287"/>
    </row>
    <row r="43" spans="1:6" ht="19.5" customHeight="1">
      <c r="A43" s="202"/>
      <c r="B43" s="97" t="s">
        <v>11</v>
      </c>
      <c r="C43" s="23" t="s">
        <v>12</v>
      </c>
      <c r="D43" s="116">
        <f>D41*(1/13)*1.57*(1440/50)</f>
        <v>2.3651446153846161</v>
      </c>
      <c r="E43" s="131">
        <v>11200</v>
      </c>
      <c r="F43" s="287">
        <f>E43*D43</f>
        <v>26489.6196923077</v>
      </c>
    </row>
    <row r="44" spans="1:6" ht="19.5" customHeight="1">
      <c r="A44" s="202"/>
      <c r="B44" s="97" t="s">
        <v>13</v>
      </c>
      <c r="C44" s="23" t="s">
        <v>10</v>
      </c>
      <c r="D44" s="116">
        <f>D41*(4/13)*1.57</f>
        <v>0.32849230769230781</v>
      </c>
      <c r="E44" s="131">
        <v>30500</v>
      </c>
      <c r="F44" s="287">
        <f t="shared" ref="F44:F46" si="0">E44*D44</f>
        <v>10019.015384615388</v>
      </c>
    </row>
    <row r="45" spans="1:6" ht="19.5" customHeight="1">
      <c r="A45" s="202"/>
      <c r="B45" s="97" t="s">
        <v>14</v>
      </c>
      <c r="C45" s="23" t="s">
        <v>10</v>
      </c>
      <c r="D45" s="116">
        <f>D41*(8/13)*1.57</f>
        <v>0.65698461538461561</v>
      </c>
      <c r="E45" s="131">
        <v>32300</v>
      </c>
      <c r="F45" s="287">
        <f t="shared" si="0"/>
        <v>21220.603076923086</v>
      </c>
    </row>
    <row r="46" spans="1:6" ht="19.5" customHeight="1">
      <c r="A46" s="202"/>
      <c r="B46" s="97" t="s">
        <v>15</v>
      </c>
      <c r="C46" s="23" t="s">
        <v>16</v>
      </c>
      <c r="D46" s="116">
        <f>D50*10</f>
        <v>1.1333333333333335</v>
      </c>
      <c r="E46" s="131">
        <v>2200</v>
      </c>
      <c r="F46" s="287">
        <f t="shared" si="0"/>
        <v>2493.3333333333339</v>
      </c>
    </row>
    <row r="47" spans="1:6" ht="19.5" customHeight="1">
      <c r="A47" s="166"/>
      <c r="B47" s="96" t="s">
        <v>18</v>
      </c>
      <c r="C47" s="28"/>
      <c r="D47" s="119"/>
      <c r="E47" s="133"/>
      <c r="F47" s="288">
        <f>SUM(F43:F46)</f>
        <v>60222.571487179513</v>
      </c>
    </row>
    <row r="48" spans="1:6" ht="19.5" customHeight="1">
      <c r="A48" s="202"/>
      <c r="B48" s="97"/>
      <c r="C48" s="23"/>
      <c r="D48" s="116"/>
      <c r="E48" s="131"/>
      <c r="F48" s="287"/>
    </row>
    <row r="49" spans="1:7" ht="19.5" customHeight="1">
      <c r="A49" s="202"/>
      <c r="B49" s="96" t="s">
        <v>19</v>
      </c>
      <c r="C49" s="23"/>
      <c r="D49" s="116"/>
      <c r="E49" s="131"/>
      <c r="F49" s="287"/>
    </row>
    <row r="50" spans="1:7" ht="19.5" customHeight="1">
      <c r="A50" s="202"/>
      <c r="B50" s="97" t="s">
        <v>20</v>
      </c>
      <c r="C50" s="23" t="s">
        <v>21</v>
      </c>
      <c r="D50" s="116">
        <f>D41/6</f>
        <v>0.11333333333333336</v>
      </c>
      <c r="E50" s="131">
        <v>450</v>
      </c>
      <c r="F50" s="287">
        <f>E50*D50</f>
        <v>51.000000000000007</v>
      </c>
    </row>
    <row r="51" spans="1:7" ht="19.5" customHeight="1">
      <c r="A51" s="166"/>
      <c r="B51" s="96" t="s">
        <v>23</v>
      </c>
      <c r="C51" s="28"/>
      <c r="D51" s="119"/>
      <c r="E51" s="133"/>
      <c r="F51" s="288">
        <f>SUM(F50)</f>
        <v>51.000000000000007</v>
      </c>
    </row>
    <row r="52" spans="1:7" ht="19.5" customHeight="1">
      <c r="A52" s="202"/>
      <c r="B52" s="97"/>
      <c r="C52" s="23"/>
      <c r="D52" s="116"/>
      <c r="E52" s="131"/>
      <c r="F52" s="287"/>
    </row>
    <row r="53" spans="1:7" ht="19.5" customHeight="1">
      <c r="A53" s="202"/>
      <c r="B53" s="96" t="s">
        <v>6</v>
      </c>
      <c r="C53" s="23"/>
      <c r="D53" s="116"/>
      <c r="E53" s="131"/>
      <c r="F53" s="287"/>
    </row>
    <row r="54" spans="1:7" ht="19.5" customHeight="1">
      <c r="A54" s="202"/>
      <c r="B54" s="97" t="s">
        <v>24</v>
      </c>
      <c r="C54" s="23" t="s">
        <v>21</v>
      </c>
      <c r="D54" s="116">
        <f>(D41/6)*2</f>
        <v>0.22666666666666671</v>
      </c>
      <c r="E54" s="131">
        <v>500</v>
      </c>
      <c r="F54" s="287">
        <f>E54*D54</f>
        <v>113.33333333333336</v>
      </c>
      <c r="G54" s="324"/>
    </row>
    <row r="55" spans="1:7" ht="19.5" customHeight="1">
      <c r="A55" s="202"/>
      <c r="B55" s="97" t="s">
        <v>25</v>
      </c>
      <c r="C55" s="23" t="s">
        <v>21</v>
      </c>
      <c r="D55" s="116">
        <f>(D41/6)*18</f>
        <v>2.0400000000000005</v>
      </c>
      <c r="E55" s="131">
        <v>180</v>
      </c>
      <c r="F55" s="287">
        <f t="shared" ref="F55:F56" si="1">E55*D55</f>
        <v>367.2000000000001</v>
      </c>
      <c r="G55" s="67"/>
    </row>
    <row r="56" spans="1:7" ht="19.5" customHeight="1">
      <c r="A56" s="202"/>
      <c r="B56" s="97" t="s">
        <v>26</v>
      </c>
      <c r="C56" s="23" t="s">
        <v>21</v>
      </c>
      <c r="D56" s="116">
        <f>D50</f>
        <v>0.11333333333333336</v>
      </c>
      <c r="E56" s="131">
        <v>130</v>
      </c>
      <c r="F56" s="287">
        <f t="shared" si="1"/>
        <v>14.733333333333336</v>
      </c>
    </row>
    <row r="57" spans="1:7" ht="19.5" customHeight="1">
      <c r="A57" s="166"/>
      <c r="B57" s="96" t="s">
        <v>27</v>
      </c>
      <c r="C57" s="28"/>
      <c r="D57" s="119"/>
      <c r="E57" s="133"/>
      <c r="F57" s="288">
        <f>SUM(F54:F56)</f>
        <v>495.26666666666682</v>
      </c>
    </row>
    <row r="58" spans="1:7" ht="19.5" customHeight="1">
      <c r="A58" s="197">
        <v>3.02</v>
      </c>
      <c r="B58" s="16" t="s">
        <v>98</v>
      </c>
      <c r="C58" s="3" t="s">
        <v>1</v>
      </c>
      <c r="D58" s="115">
        <f>(0.75*0.75)*8</f>
        <v>4.5</v>
      </c>
      <c r="E58" s="132">
        <f>(F75+F69+F65)/D58</f>
        <v>4564.8802564102562</v>
      </c>
      <c r="F58" s="158">
        <f>E58*D58</f>
        <v>20541.961153846154</v>
      </c>
    </row>
    <row r="59" spans="1:7" ht="19.5" customHeight="1">
      <c r="A59" s="201"/>
      <c r="B59" s="19"/>
      <c r="C59" s="20" t="s">
        <v>10</v>
      </c>
      <c r="D59" s="135">
        <f>D58*0.05</f>
        <v>0.22500000000000001</v>
      </c>
      <c r="E59" s="134">
        <f>F58/D59</f>
        <v>91297.605128205134</v>
      </c>
      <c r="F59" s="163">
        <f>E59*D59</f>
        <v>20541.961153846154</v>
      </c>
    </row>
    <row r="60" spans="1:7" ht="19.5" customHeight="1">
      <c r="A60" s="202"/>
      <c r="B60" s="96" t="s">
        <v>2</v>
      </c>
      <c r="C60" s="23"/>
      <c r="D60" s="116"/>
      <c r="E60" s="131"/>
      <c r="F60" s="287"/>
    </row>
    <row r="61" spans="1:7" ht="19.5" customHeight="1">
      <c r="A61" s="202"/>
      <c r="B61" s="97" t="s">
        <v>11</v>
      </c>
      <c r="C61" s="23" t="s">
        <v>12</v>
      </c>
      <c r="D61" s="116">
        <f>D59*(1/13)*1.57*(1440/50)</f>
        <v>0.78258461538461543</v>
      </c>
      <c r="E61" s="131">
        <v>11200</v>
      </c>
      <c r="F61" s="287">
        <f>E61*D61</f>
        <v>8764.9476923076927</v>
      </c>
    </row>
    <row r="62" spans="1:7" ht="19.5" customHeight="1">
      <c r="A62" s="202"/>
      <c r="B62" s="97" t="s">
        <v>13</v>
      </c>
      <c r="C62" s="23" t="s">
        <v>10</v>
      </c>
      <c r="D62" s="116">
        <f>D59*(4/13)*1.57</f>
        <v>0.1086923076923077</v>
      </c>
      <c r="E62" s="131">
        <v>30500</v>
      </c>
      <c r="F62" s="287">
        <f t="shared" ref="F62:F64" si="2">E62*D62</f>
        <v>3315.1153846153848</v>
      </c>
    </row>
    <row r="63" spans="1:7" ht="19.5" customHeight="1">
      <c r="A63" s="202"/>
      <c r="B63" s="97" t="s">
        <v>14</v>
      </c>
      <c r="C63" s="23" t="s">
        <v>10</v>
      </c>
      <c r="D63" s="116">
        <f>D59*(8/13)*1.57</f>
        <v>0.2173846153846154</v>
      </c>
      <c r="E63" s="131">
        <v>32300</v>
      </c>
      <c r="F63" s="287">
        <f t="shared" si="2"/>
        <v>7021.5230769230775</v>
      </c>
    </row>
    <row r="64" spans="1:7" ht="19.5" customHeight="1">
      <c r="A64" s="202"/>
      <c r="B64" s="97" t="s">
        <v>15</v>
      </c>
      <c r="C64" s="23" t="s">
        <v>16</v>
      </c>
      <c r="D64" s="116">
        <f>D68*10</f>
        <v>0.375</v>
      </c>
      <c r="E64" s="131">
        <v>1900</v>
      </c>
      <c r="F64" s="287">
        <f t="shared" si="2"/>
        <v>712.5</v>
      </c>
    </row>
    <row r="65" spans="1:6" ht="19.5" customHeight="1">
      <c r="A65" s="166"/>
      <c r="B65" s="96" t="s">
        <v>18</v>
      </c>
      <c r="C65" s="28"/>
      <c r="D65" s="119"/>
      <c r="E65" s="133"/>
      <c r="F65" s="288">
        <f>SUM(F61:F64)</f>
        <v>19814.086153846154</v>
      </c>
    </row>
    <row r="66" spans="1:6" ht="19.5" customHeight="1">
      <c r="A66" s="202"/>
      <c r="B66" s="97"/>
      <c r="C66" s="23"/>
      <c r="D66" s="116"/>
      <c r="E66" s="131"/>
      <c r="F66" s="287"/>
    </row>
    <row r="67" spans="1:6" ht="19.5" customHeight="1">
      <c r="A67" s="202"/>
      <c r="B67" s="96" t="s">
        <v>19</v>
      </c>
      <c r="C67" s="23"/>
      <c r="D67" s="116"/>
      <c r="E67" s="131"/>
      <c r="F67" s="287"/>
    </row>
    <row r="68" spans="1:6" ht="19.5" customHeight="1">
      <c r="A68" s="202"/>
      <c r="B68" s="97" t="s">
        <v>20</v>
      </c>
      <c r="C68" s="23" t="s">
        <v>21</v>
      </c>
      <c r="D68" s="116">
        <f>D59/6</f>
        <v>3.7499999999999999E-2</v>
      </c>
      <c r="E68" s="131">
        <v>950</v>
      </c>
      <c r="F68" s="287">
        <f>E68*D68</f>
        <v>35.625</v>
      </c>
    </row>
    <row r="69" spans="1:6" ht="19.5" customHeight="1">
      <c r="A69" s="166"/>
      <c r="B69" s="96" t="s">
        <v>23</v>
      </c>
      <c r="C69" s="28"/>
      <c r="D69" s="119"/>
      <c r="E69" s="133"/>
      <c r="F69" s="288">
        <f>SUM(F68)</f>
        <v>35.625</v>
      </c>
    </row>
    <row r="70" spans="1:6" ht="19.5" customHeight="1">
      <c r="A70" s="202"/>
      <c r="B70" s="97"/>
      <c r="C70" s="23"/>
      <c r="D70" s="116"/>
      <c r="E70" s="131"/>
      <c r="F70" s="287"/>
    </row>
    <row r="71" spans="1:6" ht="19.5" customHeight="1">
      <c r="A71" s="202"/>
      <c r="B71" s="96" t="s">
        <v>6</v>
      </c>
      <c r="C71" s="23"/>
      <c r="D71" s="116"/>
      <c r="E71" s="131"/>
      <c r="F71" s="287"/>
    </row>
    <row r="72" spans="1:6" ht="19.5" customHeight="1">
      <c r="A72" s="202"/>
      <c r="B72" s="97" t="s">
        <v>24</v>
      </c>
      <c r="C72" s="23" t="s">
        <v>21</v>
      </c>
      <c r="D72" s="116">
        <f>(D59/6)*2</f>
        <v>7.4999999999999997E-2</v>
      </c>
      <c r="E72" s="131">
        <v>1250</v>
      </c>
      <c r="F72" s="287">
        <f>E72*D72</f>
        <v>93.75</v>
      </c>
    </row>
    <row r="73" spans="1:6" ht="19.5" customHeight="1">
      <c r="A73" s="202"/>
      <c r="B73" s="97" t="s">
        <v>25</v>
      </c>
      <c r="C73" s="23" t="s">
        <v>21</v>
      </c>
      <c r="D73" s="116">
        <f>(D59/6)*18</f>
        <v>0.67499999999999993</v>
      </c>
      <c r="E73" s="131">
        <v>820</v>
      </c>
      <c r="F73" s="287">
        <f t="shared" ref="F73:F74" si="3">E73*D73</f>
        <v>553.5</v>
      </c>
    </row>
    <row r="74" spans="1:6" ht="19.5" customHeight="1">
      <c r="A74" s="202"/>
      <c r="B74" s="97" t="s">
        <v>26</v>
      </c>
      <c r="C74" s="23" t="s">
        <v>21</v>
      </c>
      <c r="D74" s="116">
        <f>D68</f>
        <v>3.7499999999999999E-2</v>
      </c>
      <c r="E74" s="131">
        <v>1200</v>
      </c>
      <c r="F74" s="287">
        <f t="shared" si="3"/>
        <v>45</v>
      </c>
    </row>
    <row r="75" spans="1:6" ht="19.5" customHeight="1">
      <c r="A75" s="166"/>
      <c r="B75" s="96" t="s">
        <v>27</v>
      </c>
      <c r="C75" s="28"/>
      <c r="D75" s="119"/>
      <c r="E75" s="133"/>
      <c r="F75" s="288">
        <f>SUM(F72:F74)</f>
        <v>692.25</v>
      </c>
    </row>
    <row r="76" spans="1:6" ht="19.5" customHeight="1">
      <c r="A76" s="166"/>
      <c r="B76" s="96"/>
      <c r="C76" s="28"/>
      <c r="D76" s="119"/>
      <c r="E76" s="133"/>
      <c r="F76" s="288"/>
    </row>
    <row r="77" spans="1:6" ht="19.5" customHeight="1">
      <c r="A77" s="166">
        <v>4</v>
      </c>
      <c r="B77" s="480" t="s">
        <v>82</v>
      </c>
      <c r="C77" s="480"/>
      <c r="D77" s="480"/>
      <c r="E77" s="480"/>
      <c r="F77" s="481"/>
    </row>
    <row r="78" spans="1:6" ht="19.5" customHeight="1">
      <c r="A78" s="197">
        <v>4.01</v>
      </c>
      <c r="B78" s="98" t="s">
        <v>83</v>
      </c>
      <c r="C78" s="69" t="s">
        <v>50</v>
      </c>
      <c r="D78" s="123">
        <f>((0.75*0.2)*4)*8</f>
        <v>4.8000000000000007</v>
      </c>
      <c r="E78" s="136">
        <f>(F83+F88)/D78</f>
        <v>10990.972222222221</v>
      </c>
      <c r="F78" s="289">
        <f>E78*D78</f>
        <v>52756.666666666664</v>
      </c>
    </row>
    <row r="79" spans="1:6" ht="19.5" customHeight="1">
      <c r="A79" s="202"/>
      <c r="B79" s="96" t="s">
        <v>2</v>
      </c>
      <c r="C79" s="23"/>
      <c r="D79" s="112"/>
      <c r="E79" s="131"/>
      <c r="F79" s="287"/>
    </row>
    <row r="80" spans="1:6" ht="19.5" customHeight="1">
      <c r="A80" s="202"/>
      <c r="B80" s="97" t="s">
        <v>84</v>
      </c>
      <c r="C80" s="23" t="s">
        <v>85</v>
      </c>
      <c r="D80" s="116">
        <f>D78/(2.4*1.2)/2</f>
        <v>0.83333333333333348</v>
      </c>
      <c r="E80" s="131">
        <v>3500</v>
      </c>
      <c r="F80" s="287">
        <f>E80*D80</f>
        <v>2916.666666666667</v>
      </c>
    </row>
    <row r="81" spans="1:6" ht="19.5" customHeight="1">
      <c r="A81" s="202"/>
      <c r="B81" s="97" t="s">
        <v>86</v>
      </c>
      <c r="C81" s="23" t="s">
        <v>44</v>
      </c>
      <c r="D81" s="116">
        <f>D78*1.5</f>
        <v>7.2000000000000011</v>
      </c>
      <c r="E81" s="131">
        <v>5000</v>
      </c>
      <c r="F81" s="287">
        <f t="shared" ref="F81:F82" si="4">E81*D81</f>
        <v>36000.000000000007</v>
      </c>
    </row>
    <row r="82" spans="1:6" ht="19.5" customHeight="1">
      <c r="A82" s="198"/>
      <c r="B82" s="97" t="s">
        <v>87</v>
      </c>
      <c r="C82" s="23" t="s">
        <v>88</v>
      </c>
      <c r="D82" s="116">
        <f>D78*0.25</f>
        <v>1.2000000000000002</v>
      </c>
      <c r="E82" s="131">
        <v>2200</v>
      </c>
      <c r="F82" s="287">
        <f t="shared" si="4"/>
        <v>2640.0000000000005</v>
      </c>
    </row>
    <row r="83" spans="1:6" ht="19.5" customHeight="1">
      <c r="A83" s="198"/>
      <c r="B83" s="96" t="s">
        <v>89</v>
      </c>
      <c r="C83" s="28"/>
      <c r="D83" s="119"/>
      <c r="E83" s="133"/>
      <c r="F83" s="288">
        <f>SUM(F80:F82)</f>
        <v>41556.666666666672</v>
      </c>
    </row>
    <row r="84" spans="1:6" ht="19.5" customHeight="1">
      <c r="A84" s="198"/>
      <c r="B84" s="97"/>
      <c r="C84" s="23"/>
      <c r="D84" s="116"/>
      <c r="E84" s="131"/>
      <c r="F84" s="287"/>
    </row>
    <row r="85" spans="1:6" ht="19.5" customHeight="1">
      <c r="A85" s="199"/>
      <c r="B85" s="96" t="s">
        <v>6</v>
      </c>
      <c r="C85" s="23"/>
      <c r="D85" s="116"/>
      <c r="E85" s="131"/>
      <c r="F85" s="287"/>
    </row>
    <row r="86" spans="1:6" ht="19.5" customHeight="1">
      <c r="A86" s="199"/>
      <c r="B86" s="97" t="s">
        <v>90</v>
      </c>
      <c r="C86" s="23" t="s">
        <v>21</v>
      </c>
      <c r="D86" s="116">
        <f>D78/15</f>
        <v>0.32000000000000006</v>
      </c>
      <c r="E86" s="131">
        <v>15000</v>
      </c>
      <c r="F86" s="287">
        <f>E86*D86</f>
        <v>4800.0000000000009</v>
      </c>
    </row>
    <row r="87" spans="1:6" ht="19.5" customHeight="1">
      <c r="A87" s="199"/>
      <c r="B87" s="97" t="s">
        <v>25</v>
      </c>
      <c r="C87" s="23" t="s">
        <v>21</v>
      </c>
      <c r="D87" s="116">
        <f>D86*2</f>
        <v>0.64000000000000012</v>
      </c>
      <c r="E87" s="131">
        <v>10000</v>
      </c>
      <c r="F87" s="287">
        <f>E87*D87</f>
        <v>6400.0000000000009</v>
      </c>
    </row>
    <row r="88" spans="1:6" ht="19.5" customHeight="1">
      <c r="A88" s="202"/>
      <c r="B88" s="96" t="s">
        <v>91</v>
      </c>
      <c r="C88" s="28"/>
      <c r="D88" s="120"/>
      <c r="E88" s="133"/>
      <c r="F88" s="288">
        <f>SUM(F86:F87)</f>
        <v>11200.000000000002</v>
      </c>
    </row>
    <row r="89" spans="1:6" ht="19.5" customHeight="1">
      <c r="A89" s="197">
        <v>4.0199999999999996</v>
      </c>
      <c r="B89" s="98" t="s">
        <v>118</v>
      </c>
      <c r="C89" s="69" t="s">
        <v>50</v>
      </c>
      <c r="D89" s="123">
        <f>((1.05*0.3)*4)*8</f>
        <v>10.08</v>
      </c>
      <c r="E89" s="136">
        <f>(F94+F99)/D89</f>
        <v>7817.3611111111113</v>
      </c>
      <c r="F89" s="289">
        <f>E89*D89</f>
        <v>78799</v>
      </c>
    </row>
    <row r="90" spans="1:6" ht="19.5" customHeight="1">
      <c r="A90" s="202"/>
      <c r="B90" s="96" t="s">
        <v>2</v>
      </c>
      <c r="C90" s="23"/>
      <c r="D90" s="112"/>
      <c r="E90" s="131"/>
      <c r="F90" s="287"/>
    </row>
    <row r="91" spans="1:6" ht="19.5" customHeight="1">
      <c r="A91" s="202"/>
      <c r="B91" s="97" t="s">
        <v>84</v>
      </c>
      <c r="C91" s="23" t="s">
        <v>85</v>
      </c>
      <c r="D91" s="116">
        <f>D89/(2.4*1.2)/2</f>
        <v>1.75</v>
      </c>
      <c r="E91" s="131">
        <v>2500</v>
      </c>
      <c r="F91" s="287">
        <f>E91*D91</f>
        <v>4375</v>
      </c>
    </row>
    <row r="92" spans="1:6" ht="19.5" customHeight="1">
      <c r="A92" s="202"/>
      <c r="B92" s="97" t="s">
        <v>86</v>
      </c>
      <c r="C92" s="23" t="s">
        <v>44</v>
      </c>
      <c r="D92" s="116">
        <f>D89*1.5</f>
        <v>15.120000000000001</v>
      </c>
      <c r="E92" s="131">
        <v>3000</v>
      </c>
      <c r="F92" s="287">
        <f t="shared" ref="F92:F93" si="5">E92*D92</f>
        <v>45360</v>
      </c>
    </row>
    <row r="93" spans="1:6" ht="19.5" customHeight="1">
      <c r="A93" s="198"/>
      <c r="B93" s="97" t="s">
        <v>87</v>
      </c>
      <c r="C93" s="23" t="s">
        <v>88</v>
      </c>
      <c r="D93" s="116">
        <f>D89*0.25</f>
        <v>2.52</v>
      </c>
      <c r="E93" s="131">
        <v>2200</v>
      </c>
      <c r="F93" s="287">
        <f t="shared" si="5"/>
        <v>5544</v>
      </c>
    </row>
    <row r="94" spans="1:6" ht="19.5" customHeight="1">
      <c r="A94" s="198"/>
      <c r="B94" s="96" t="s">
        <v>89</v>
      </c>
      <c r="C94" s="28"/>
      <c r="D94" s="119"/>
      <c r="E94" s="133"/>
      <c r="F94" s="288">
        <f>SUM(F91:F93)</f>
        <v>55279</v>
      </c>
    </row>
    <row r="95" spans="1:6" ht="19.5" customHeight="1">
      <c r="A95" s="198"/>
      <c r="B95" s="97"/>
      <c r="C95" s="23"/>
      <c r="D95" s="116"/>
      <c r="E95" s="131"/>
      <c r="F95" s="287"/>
    </row>
    <row r="96" spans="1:6" ht="19.5" customHeight="1">
      <c r="A96" s="199"/>
      <c r="B96" s="96" t="s">
        <v>6</v>
      </c>
      <c r="C96" s="23"/>
      <c r="D96" s="116"/>
      <c r="E96" s="131"/>
      <c r="F96" s="287"/>
    </row>
    <row r="97" spans="1:6" ht="19.5" customHeight="1">
      <c r="A97" s="199"/>
      <c r="B97" s="97" t="s">
        <v>90</v>
      </c>
      <c r="C97" s="23" t="s">
        <v>21</v>
      </c>
      <c r="D97" s="116">
        <f>D89/15</f>
        <v>0.67200000000000004</v>
      </c>
      <c r="E97" s="131">
        <v>15000</v>
      </c>
      <c r="F97" s="287">
        <f>E97*D97</f>
        <v>10080</v>
      </c>
    </row>
    <row r="98" spans="1:6" ht="19.5" customHeight="1">
      <c r="A98" s="199"/>
      <c r="B98" s="97" t="s">
        <v>25</v>
      </c>
      <c r="C98" s="23" t="s">
        <v>21</v>
      </c>
      <c r="D98" s="116">
        <f>D97*2</f>
        <v>1.3440000000000001</v>
      </c>
      <c r="E98" s="131">
        <v>10000</v>
      </c>
      <c r="F98" s="287">
        <f>E98*D98</f>
        <v>13440</v>
      </c>
    </row>
    <row r="99" spans="1:6" ht="19.5" customHeight="1">
      <c r="A99" s="202"/>
      <c r="B99" s="96" t="s">
        <v>91</v>
      </c>
      <c r="C99" s="28"/>
      <c r="D99" s="120"/>
      <c r="E99" s="133"/>
      <c r="F99" s="288">
        <f>SUM(F97:F98)</f>
        <v>23520</v>
      </c>
    </row>
    <row r="100" spans="1:6" ht="19.5" customHeight="1">
      <c r="A100" s="197">
        <v>4.03</v>
      </c>
      <c r="B100" s="98" t="s">
        <v>95</v>
      </c>
      <c r="C100" s="69" t="s">
        <v>36</v>
      </c>
      <c r="D100" s="123">
        <f>((3.1*0.3)*4)*8</f>
        <v>29.759999999999998</v>
      </c>
      <c r="E100" s="136">
        <f>(F105+F110)/D100</f>
        <v>11164.583333333334</v>
      </c>
      <c r="F100" s="289">
        <f>E100*D100</f>
        <v>332258</v>
      </c>
    </row>
    <row r="101" spans="1:6" ht="19.5" customHeight="1">
      <c r="A101" s="202"/>
      <c r="B101" s="96" t="s">
        <v>2</v>
      </c>
      <c r="C101" s="23"/>
      <c r="D101" s="112"/>
      <c r="E101" s="131"/>
      <c r="F101" s="287"/>
    </row>
    <row r="102" spans="1:6" ht="19.5" customHeight="1">
      <c r="A102" s="202"/>
      <c r="B102" s="97" t="s">
        <v>84</v>
      </c>
      <c r="C102" s="23" t="s">
        <v>85</v>
      </c>
      <c r="D102" s="116">
        <f>D100/(2.4*1.2)/2</f>
        <v>5.1666666666666661</v>
      </c>
      <c r="E102" s="131">
        <v>4500</v>
      </c>
      <c r="F102" s="287">
        <f>E102*D102</f>
        <v>23249.999999999996</v>
      </c>
    </row>
    <row r="103" spans="1:6" ht="19.5" customHeight="1">
      <c r="A103" s="202"/>
      <c r="B103" s="97" t="s">
        <v>86</v>
      </c>
      <c r="C103" s="23" t="s">
        <v>44</v>
      </c>
      <c r="D103" s="116">
        <f>D100*1.5</f>
        <v>44.64</v>
      </c>
      <c r="E103" s="131">
        <v>5000</v>
      </c>
      <c r="F103" s="287">
        <f t="shared" ref="F103:F104" si="6">E103*D103</f>
        <v>223200</v>
      </c>
    </row>
    <row r="104" spans="1:6" ht="19.5" customHeight="1">
      <c r="A104" s="198"/>
      <c r="B104" s="97" t="s">
        <v>87</v>
      </c>
      <c r="C104" s="23" t="s">
        <v>88</v>
      </c>
      <c r="D104" s="116">
        <f>D100*0.25</f>
        <v>7.4399999999999995</v>
      </c>
      <c r="E104" s="131">
        <v>2200</v>
      </c>
      <c r="F104" s="287">
        <f t="shared" si="6"/>
        <v>16367.999999999998</v>
      </c>
    </row>
    <row r="105" spans="1:6" s="64" customFormat="1" ht="19.5" customHeight="1">
      <c r="A105" s="198"/>
      <c r="B105" s="96" t="s">
        <v>89</v>
      </c>
      <c r="C105" s="28"/>
      <c r="D105" s="119"/>
      <c r="E105" s="133"/>
      <c r="F105" s="288">
        <f>SUM(F102:F104)</f>
        <v>262818</v>
      </c>
    </row>
    <row r="106" spans="1:6" ht="19.5" customHeight="1">
      <c r="A106" s="198"/>
      <c r="B106" s="97"/>
      <c r="C106" s="23"/>
      <c r="D106" s="116"/>
      <c r="E106" s="131"/>
      <c r="F106" s="287"/>
    </row>
    <row r="107" spans="1:6" ht="19.5" customHeight="1">
      <c r="A107" s="199"/>
      <c r="B107" s="96" t="s">
        <v>6</v>
      </c>
      <c r="C107" s="23"/>
      <c r="D107" s="116"/>
      <c r="E107" s="131"/>
      <c r="F107" s="287"/>
    </row>
    <row r="108" spans="1:6" ht="19.5" customHeight="1">
      <c r="A108" s="199"/>
      <c r="B108" s="97" t="s">
        <v>90</v>
      </c>
      <c r="C108" s="23" t="s">
        <v>21</v>
      </c>
      <c r="D108" s="116">
        <f>D100/15</f>
        <v>1.9839999999999998</v>
      </c>
      <c r="E108" s="131">
        <v>15000</v>
      </c>
      <c r="F108" s="287">
        <f>E108*D108</f>
        <v>29759.999999999996</v>
      </c>
    </row>
    <row r="109" spans="1:6" s="59" customFormat="1" ht="19.5" customHeight="1">
      <c r="A109" s="199"/>
      <c r="B109" s="97" t="s">
        <v>25</v>
      </c>
      <c r="C109" s="23" t="s">
        <v>21</v>
      </c>
      <c r="D109" s="116">
        <f>D108*2</f>
        <v>3.9679999999999995</v>
      </c>
      <c r="E109" s="131">
        <v>10000</v>
      </c>
      <c r="F109" s="287">
        <f>E109*D109</f>
        <v>39679.999999999993</v>
      </c>
    </row>
    <row r="110" spans="1:6" ht="19.5" customHeight="1">
      <c r="A110" s="202"/>
      <c r="B110" s="11" t="s">
        <v>9</v>
      </c>
      <c r="C110" s="28"/>
      <c r="D110" s="120"/>
      <c r="E110" s="133"/>
      <c r="F110" s="288">
        <f>SUM(F108:F109)</f>
        <v>69439.999999999985</v>
      </c>
    </row>
    <row r="111" spans="1:6" ht="19.5" customHeight="1">
      <c r="A111" s="202"/>
      <c r="B111" s="11"/>
      <c r="C111" s="28"/>
      <c r="D111" s="120"/>
      <c r="E111" s="133"/>
      <c r="F111" s="288"/>
    </row>
    <row r="112" spans="1:6" ht="19.5" customHeight="1">
      <c r="A112" s="203">
        <v>5</v>
      </c>
      <c r="B112" s="99" t="s">
        <v>105</v>
      </c>
      <c r="C112" s="69" t="s">
        <v>88</v>
      </c>
      <c r="D112" s="123">
        <v>289.072</v>
      </c>
      <c r="E112" s="136">
        <f>(F116+F122)/D112</f>
        <v>6375.8333333333339</v>
      </c>
      <c r="F112" s="289">
        <f>E112*D112</f>
        <v>1843074.8933333335</v>
      </c>
    </row>
    <row r="113" spans="1:6" ht="19.5" customHeight="1">
      <c r="A113" s="202"/>
      <c r="B113" s="96" t="s">
        <v>2</v>
      </c>
      <c r="C113" s="23"/>
      <c r="D113" s="112"/>
      <c r="E113" s="131"/>
      <c r="F113" s="287"/>
    </row>
    <row r="114" spans="1:6" s="59" customFormat="1" ht="19.5" customHeight="1">
      <c r="A114" s="202"/>
      <c r="B114" s="97" t="s">
        <v>106</v>
      </c>
      <c r="C114" s="23" t="s">
        <v>88</v>
      </c>
      <c r="D114" s="116">
        <f>D112*1.1</f>
        <v>317.97920000000005</v>
      </c>
      <c r="E114" s="131">
        <v>5050</v>
      </c>
      <c r="F114" s="287">
        <f>E114*D114</f>
        <v>1605794.9600000002</v>
      </c>
    </row>
    <row r="115" spans="1:6" ht="19.5" customHeight="1">
      <c r="A115" s="202"/>
      <c r="B115" s="97" t="s">
        <v>107</v>
      </c>
      <c r="C115" s="23" t="s">
        <v>88</v>
      </c>
      <c r="D115" s="116">
        <f>D112*2.5%</f>
        <v>7.2268000000000008</v>
      </c>
      <c r="E115" s="131">
        <v>3500</v>
      </c>
      <c r="F115" s="287">
        <f>E115*D115</f>
        <v>25293.800000000003</v>
      </c>
    </row>
    <row r="116" spans="1:6" s="64" customFormat="1" ht="19.5" customHeight="1">
      <c r="A116" s="202"/>
      <c r="B116" s="97"/>
      <c r="C116" s="23"/>
      <c r="D116" s="116"/>
      <c r="E116" s="131"/>
      <c r="F116" s="288">
        <f>SUM(F114:F115)</f>
        <v>1631088.7600000002</v>
      </c>
    </row>
    <row r="117" spans="1:6" ht="19.5" customHeight="1">
      <c r="A117" s="166"/>
      <c r="B117" s="96" t="s">
        <v>108</v>
      </c>
      <c r="C117" s="28"/>
      <c r="D117" s="119"/>
      <c r="E117" s="133"/>
      <c r="F117" s="288"/>
    </row>
    <row r="118" spans="1:6" ht="19.5" customHeight="1">
      <c r="A118" s="202"/>
      <c r="B118" s="97"/>
      <c r="C118" s="23"/>
      <c r="D118" s="116"/>
      <c r="E118" s="131"/>
      <c r="F118" s="287"/>
    </row>
    <row r="119" spans="1:6" ht="19.5" customHeight="1">
      <c r="A119" s="202"/>
      <c r="B119" s="96" t="s">
        <v>6</v>
      </c>
      <c r="C119" s="23"/>
      <c r="D119" s="116"/>
      <c r="E119" s="131"/>
      <c r="F119" s="287"/>
    </row>
    <row r="120" spans="1:6" s="59" customFormat="1" ht="19.5" customHeight="1">
      <c r="A120" s="202"/>
      <c r="B120" s="97" t="s">
        <v>109</v>
      </c>
      <c r="C120" s="23" t="s">
        <v>8</v>
      </c>
      <c r="D120" s="116">
        <f>D112/45</f>
        <v>6.4238222222222223</v>
      </c>
      <c r="E120" s="131">
        <v>17000</v>
      </c>
      <c r="F120" s="287">
        <f>E120*D120</f>
        <v>109204.97777777778</v>
      </c>
    </row>
    <row r="121" spans="1:6" ht="19.5" customHeight="1">
      <c r="A121" s="202"/>
      <c r="B121" s="97" t="s">
        <v>110</v>
      </c>
      <c r="C121" s="23" t="s">
        <v>8</v>
      </c>
      <c r="D121" s="116">
        <f>D120*2</f>
        <v>12.847644444444445</v>
      </c>
      <c r="E121" s="131">
        <v>8000</v>
      </c>
      <c r="F121" s="287">
        <f>E121*D121</f>
        <v>102781.15555555555</v>
      </c>
    </row>
    <row r="122" spans="1:6" ht="19.5" customHeight="1">
      <c r="A122" s="166"/>
      <c r="B122" s="96" t="s">
        <v>111</v>
      </c>
      <c r="C122" s="28"/>
      <c r="D122" s="120"/>
      <c r="E122" s="133"/>
      <c r="F122" s="288">
        <f>SUM(F120:F121)</f>
        <v>211986.13333333333</v>
      </c>
    </row>
    <row r="123" spans="1:6" ht="19.5" customHeight="1">
      <c r="A123" s="166"/>
      <c r="B123" s="96"/>
      <c r="C123" s="28"/>
      <c r="D123" s="120"/>
      <c r="E123" s="133"/>
      <c r="F123" s="288"/>
    </row>
    <row r="124" spans="1:6" ht="19.5" customHeight="1">
      <c r="A124" s="168">
        <v>6</v>
      </c>
      <c r="B124" s="482" t="s">
        <v>101</v>
      </c>
      <c r="C124" s="482"/>
      <c r="D124" s="482"/>
      <c r="E124" s="482"/>
      <c r="F124" s="483"/>
    </row>
    <row r="125" spans="1:6" ht="19.5" customHeight="1">
      <c r="A125" s="197">
        <v>6.01</v>
      </c>
      <c r="B125" s="98" t="s">
        <v>102</v>
      </c>
      <c r="C125" s="69" t="s">
        <v>10</v>
      </c>
      <c r="D125" s="123">
        <f>(0.7*0.7*0.15)*8</f>
        <v>0.58799999999999986</v>
      </c>
      <c r="E125" s="136">
        <f>(F135+F132+F128)/D125</f>
        <v>218000.00000000003</v>
      </c>
      <c r="F125" s="289">
        <f>E125*D125</f>
        <v>128183.99999999999</v>
      </c>
    </row>
    <row r="126" spans="1:6" ht="19.5" customHeight="1">
      <c r="A126" s="204"/>
      <c r="B126" s="100" t="s">
        <v>2</v>
      </c>
      <c r="C126" s="56"/>
      <c r="D126" s="121"/>
      <c r="E126" s="134"/>
      <c r="F126" s="290"/>
    </row>
    <row r="127" spans="1:6" ht="19.5" customHeight="1">
      <c r="A127" s="204"/>
      <c r="B127" s="101" t="s">
        <v>99</v>
      </c>
      <c r="C127" s="56" t="s">
        <v>28</v>
      </c>
      <c r="D127" s="135">
        <f>D125*1.1</f>
        <v>0.64679999999999993</v>
      </c>
      <c r="E127" s="134">
        <v>180000</v>
      </c>
      <c r="F127" s="290">
        <f>E127*D127</f>
        <v>116423.99999999999</v>
      </c>
    </row>
    <row r="128" spans="1:6" ht="19.5" customHeight="1">
      <c r="A128" s="205"/>
      <c r="B128" s="100" t="s">
        <v>100</v>
      </c>
      <c r="C128" s="57"/>
      <c r="D128" s="122"/>
      <c r="E128" s="259"/>
      <c r="F128" s="291">
        <f>SUM(F127)</f>
        <v>116423.99999999999</v>
      </c>
    </row>
    <row r="129" spans="1:6" s="64" customFormat="1" ht="19.5" customHeight="1">
      <c r="A129" s="205"/>
      <c r="B129" s="100"/>
      <c r="C129" s="57"/>
      <c r="D129" s="122"/>
      <c r="E129" s="259"/>
      <c r="F129" s="291"/>
    </row>
    <row r="130" spans="1:6" ht="19.5" customHeight="1">
      <c r="A130" s="202"/>
      <c r="B130" s="96" t="s">
        <v>19</v>
      </c>
      <c r="C130" s="23"/>
      <c r="D130" s="116"/>
      <c r="E130" s="131"/>
      <c r="F130" s="287"/>
    </row>
    <row r="131" spans="1:6" ht="19.5" customHeight="1">
      <c r="A131" s="202"/>
      <c r="B131" s="97" t="s">
        <v>22</v>
      </c>
      <c r="C131" s="23" t="s">
        <v>21</v>
      </c>
      <c r="D131" s="116">
        <f>D125/6</f>
        <v>9.7999999999999976E-2</v>
      </c>
      <c r="E131" s="131">
        <v>65000</v>
      </c>
      <c r="F131" s="287">
        <f>E131*D131</f>
        <v>6369.9999999999982</v>
      </c>
    </row>
    <row r="132" spans="1:6" ht="19.5" customHeight="1">
      <c r="A132" s="166"/>
      <c r="B132" s="96" t="s">
        <v>112</v>
      </c>
      <c r="C132" s="28"/>
      <c r="D132" s="119"/>
      <c r="E132" s="133"/>
      <c r="F132" s="288">
        <f>SUM(F131)</f>
        <v>6369.9999999999982</v>
      </c>
    </row>
    <row r="133" spans="1:6" ht="19.5" customHeight="1">
      <c r="A133" s="166"/>
      <c r="B133" s="96"/>
      <c r="C133" s="28"/>
      <c r="D133" s="119"/>
      <c r="E133" s="133"/>
      <c r="F133" s="288"/>
    </row>
    <row r="134" spans="1:6" ht="19.5" customHeight="1">
      <c r="A134" s="204"/>
      <c r="B134" s="101" t="s">
        <v>26</v>
      </c>
      <c r="C134" s="56" t="s">
        <v>21</v>
      </c>
      <c r="D134" s="135">
        <f>D131</f>
        <v>9.7999999999999976E-2</v>
      </c>
      <c r="E134" s="134">
        <v>55000</v>
      </c>
      <c r="F134" s="290">
        <f>E134*D134</f>
        <v>5389.9999999999991</v>
      </c>
    </row>
    <row r="135" spans="1:6" ht="19.5" customHeight="1">
      <c r="A135" s="205"/>
      <c r="B135" s="100" t="s">
        <v>113</v>
      </c>
      <c r="C135" s="57"/>
      <c r="D135" s="122"/>
      <c r="E135" s="259"/>
      <c r="F135" s="291">
        <f>SUM(F134)</f>
        <v>5389.9999999999991</v>
      </c>
    </row>
    <row r="136" spans="1:6" ht="19.5" customHeight="1">
      <c r="A136" s="197">
        <v>6.02</v>
      </c>
      <c r="B136" s="98" t="s">
        <v>103</v>
      </c>
      <c r="C136" s="69" t="s">
        <v>10</v>
      </c>
      <c r="D136" s="123">
        <f>(1*0.25*0.25)*8</f>
        <v>0.5</v>
      </c>
      <c r="E136" s="136">
        <f>(F146+F143+F139)/D136</f>
        <v>223920.00000000003</v>
      </c>
      <c r="F136" s="289">
        <f>E136*D136</f>
        <v>111960.00000000001</v>
      </c>
    </row>
    <row r="137" spans="1:6" ht="19.5" customHeight="1">
      <c r="A137" s="204"/>
      <c r="B137" s="100" t="s">
        <v>2</v>
      </c>
      <c r="C137" s="56"/>
      <c r="D137" s="121"/>
      <c r="E137" s="134"/>
      <c r="F137" s="290"/>
    </row>
    <row r="138" spans="1:6" s="59" customFormat="1" ht="19.5" customHeight="1">
      <c r="A138" s="204"/>
      <c r="B138" s="101" t="s">
        <v>99</v>
      </c>
      <c r="C138" s="56" t="s">
        <v>28</v>
      </c>
      <c r="D138" s="135">
        <f>D136*1.1</f>
        <v>0.55000000000000004</v>
      </c>
      <c r="E138" s="134">
        <v>200000</v>
      </c>
      <c r="F138" s="290">
        <f>E138*D138</f>
        <v>110000.00000000001</v>
      </c>
    </row>
    <row r="139" spans="1:6" ht="19.5" customHeight="1">
      <c r="A139" s="205"/>
      <c r="B139" s="100" t="s">
        <v>100</v>
      </c>
      <c r="C139" s="57"/>
      <c r="D139" s="122"/>
      <c r="E139" s="259"/>
      <c r="F139" s="291">
        <f>SUM(F138)</f>
        <v>110000.00000000001</v>
      </c>
    </row>
    <row r="140" spans="1:6" ht="19.5" customHeight="1">
      <c r="A140" s="205"/>
      <c r="B140" s="100"/>
      <c r="C140" s="57"/>
      <c r="D140" s="122"/>
      <c r="E140" s="259"/>
      <c r="F140" s="291"/>
    </row>
    <row r="141" spans="1:6" ht="19.5" customHeight="1">
      <c r="A141" s="202"/>
      <c r="B141" s="96" t="s">
        <v>19</v>
      </c>
      <c r="C141" s="23"/>
      <c r="D141" s="116"/>
      <c r="E141" s="131"/>
      <c r="F141" s="287"/>
    </row>
    <row r="142" spans="1:6" ht="19.5" customHeight="1">
      <c r="A142" s="202"/>
      <c r="B142" s="97" t="s">
        <v>22</v>
      </c>
      <c r="C142" s="23" t="s">
        <v>21</v>
      </c>
      <c r="D142" s="249">
        <f>D134/6</f>
        <v>1.6333333333333328E-2</v>
      </c>
      <c r="E142" s="131">
        <v>65000</v>
      </c>
      <c r="F142" s="287">
        <f>E142*D142</f>
        <v>1061.6666666666663</v>
      </c>
    </row>
    <row r="143" spans="1:6" s="59" customFormat="1" ht="19.5" customHeight="1">
      <c r="A143" s="166"/>
      <c r="B143" s="96" t="s">
        <v>112</v>
      </c>
      <c r="C143" s="28"/>
      <c r="D143" s="119"/>
      <c r="E143" s="133"/>
      <c r="F143" s="288">
        <f>SUM(F142)</f>
        <v>1061.6666666666663</v>
      </c>
    </row>
    <row r="144" spans="1:6" ht="19.5" customHeight="1">
      <c r="A144" s="166"/>
      <c r="B144" s="96"/>
      <c r="C144" s="28"/>
      <c r="D144" s="119"/>
      <c r="E144" s="133"/>
      <c r="F144" s="288"/>
    </row>
    <row r="145" spans="1:6" ht="19.5" customHeight="1">
      <c r="A145" s="204"/>
      <c r="B145" s="101" t="s">
        <v>26</v>
      </c>
      <c r="C145" s="56" t="s">
        <v>21</v>
      </c>
      <c r="D145" s="250">
        <f>D142</f>
        <v>1.6333333333333328E-2</v>
      </c>
      <c r="E145" s="134">
        <v>55000</v>
      </c>
      <c r="F145" s="290">
        <f>E145*D145</f>
        <v>898.33333333333303</v>
      </c>
    </row>
    <row r="146" spans="1:6" ht="19.5" customHeight="1">
      <c r="A146" s="205"/>
      <c r="B146" s="100" t="s">
        <v>113</v>
      </c>
      <c r="C146" s="57"/>
      <c r="D146" s="122"/>
      <c r="E146" s="259"/>
      <c r="F146" s="291">
        <f>SUM(F145)</f>
        <v>898.33333333333303</v>
      </c>
    </row>
    <row r="147" spans="1:6" ht="19.5" customHeight="1">
      <c r="A147" s="197">
        <v>6.03</v>
      </c>
      <c r="B147" s="98" t="s">
        <v>104</v>
      </c>
      <c r="C147" s="69" t="s">
        <v>10</v>
      </c>
      <c r="D147" s="123">
        <f>(3*0.25*0.25)*8</f>
        <v>1.5</v>
      </c>
      <c r="E147" s="136">
        <f>(F150+F154+F157)/D147</f>
        <v>295000.00000000006</v>
      </c>
      <c r="F147" s="289">
        <f>E147*D147</f>
        <v>442500.00000000012</v>
      </c>
    </row>
    <row r="148" spans="1:6" s="64" customFormat="1" ht="19.5" customHeight="1">
      <c r="A148" s="204"/>
      <c r="B148" s="100" t="s">
        <v>2</v>
      </c>
      <c r="C148" s="56"/>
      <c r="D148" s="121"/>
      <c r="E148" s="134"/>
      <c r="F148" s="290"/>
    </row>
    <row r="149" spans="1:6" ht="19.5" customHeight="1">
      <c r="A149" s="204"/>
      <c r="B149" s="101" t="s">
        <v>99</v>
      </c>
      <c r="C149" s="56" t="s">
        <v>28</v>
      </c>
      <c r="D149" s="135">
        <f>D147*1.1</f>
        <v>1.6500000000000001</v>
      </c>
      <c r="E149" s="134">
        <v>250000</v>
      </c>
      <c r="F149" s="290">
        <f>E149*D149</f>
        <v>412500.00000000006</v>
      </c>
    </row>
    <row r="150" spans="1:6" ht="19.5" customHeight="1">
      <c r="A150" s="205"/>
      <c r="B150" s="100" t="s">
        <v>100</v>
      </c>
      <c r="C150" s="57"/>
      <c r="D150" s="122"/>
      <c r="E150" s="259"/>
      <c r="F150" s="291">
        <f>SUM(F149)</f>
        <v>412500.00000000006</v>
      </c>
    </row>
    <row r="151" spans="1:6" ht="19.5" customHeight="1">
      <c r="A151" s="205"/>
      <c r="B151" s="100"/>
      <c r="C151" s="57"/>
      <c r="D151" s="122"/>
      <c r="E151" s="259"/>
      <c r="F151" s="291"/>
    </row>
    <row r="152" spans="1:6" ht="19.5" customHeight="1">
      <c r="A152" s="202"/>
      <c r="B152" s="96" t="s">
        <v>19</v>
      </c>
      <c r="C152" s="23"/>
      <c r="D152" s="116"/>
      <c r="E152" s="131"/>
      <c r="F152" s="287"/>
    </row>
    <row r="153" spans="1:6" s="59" customFormat="1" ht="19.5" customHeight="1">
      <c r="A153" s="202"/>
      <c r="B153" s="97" t="s">
        <v>22</v>
      </c>
      <c r="C153" s="23" t="s">
        <v>21</v>
      </c>
      <c r="D153" s="116">
        <f>D147/6</f>
        <v>0.25</v>
      </c>
      <c r="E153" s="131">
        <v>65000</v>
      </c>
      <c r="F153" s="287">
        <f>E153*D153</f>
        <v>16250</v>
      </c>
    </row>
    <row r="154" spans="1:6" ht="19.5" customHeight="1">
      <c r="A154" s="166"/>
      <c r="B154" s="96" t="s">
        <v>112</v>
      </c>
      <c r="C154" s="28"/>
      <c r="D154" s="119"/>
      <c r="E154" s="133"/>
      <c r="F154" s="288">
        <f>SUM(F153)</f>
        <v>16250</v>
      </c>
    </row>
    <row r="155" spans="1:6" ht="19.5" customHeight="1">
      <c r="A155" s="166"/>
      <c r="B155" s="96"/>
      <c r="C155" s="28"/>
      <c r="D155" s="119"/>
      <c r="E155" s="133"/>
      <c r="F155" s="288"/>
    </row>
    <row r="156" spans="1:6" ht="19.5" customHeight="1">
      <c r="A156" s="204"/>
      <c r="B156" s="101" t="s">
        <v>26</v>
      </c>
      <c r="C156" s="56" t="s">
        <v>21</v>
      </c>
      <c r="D156" s="135">
        <f>D153</f>
        <v>0.25</v>
      </c>
      <c r="E156" s="134">
        <v>55000</v>
      </c>
      <c r="F156" s="290">
        <f>E156*D156</f>
        <v>13750</v>
      </c>
    </row>
    <row r="157" spans="1:6" ht="19.5" customHeight="1">
      <c r="A157" s="205"/>
      <c r="B157" s="100" t="s">
        <v>113</v>
      </c>
      <c r="C157" s="57"/>
      <c r="D157" s="122"/>
      <c r="E157" s="259"/>
      <c r="F157" s="291">
        <f>SUM(F156)</f>
        <v>13750</v>
      </c>
    </row>
    <row r="158" spans="1:6" s="59" customFormat="1" ht="19.5" customHeight="1">
      <c r="A158" s="205"/>
      <c r="B158" s="100"/>
      <c r="C158" s="57"/>
      <c r="D158" s="122"/>
      <c r="E158" s="259"/>
      <c r="F158" s="291"/>
    </row>
    <row r="159" spans="1:6" s="63" customFormat="1" ht="19.5" customHeight="1">
      <c r="A159" s="168">
        <v>7</v>
      </c>
      <c r="B159" s="478" t="s">
        <v>73</v>
      </c>
      <c r="C159" s="478"/>
      <c r="D159" s="478"/>
      <c r="E159" s="478"/>
      <c r="F159" s="479"/>
    </row>
    <row r="160" spans="1:6" ht="19.5" customHeight="1">
      <c r="A160" s="200">
        <v>7.01</v>
      </c>
      <c r="B160" s="16" t="s">
        <v>71</v>
      </c>
      <c r="C160" s="3" t="s">
        <v>28</v>
      </c>
      <c r="D160" s="115">
        <f>0.4*0.8*34</f>
        <v>10.880000000000003</v>
      </c>
      <c r="E160" s="3">
        <f>(F165+F170)/D160</f>
        <v>85069.756862745096</v>
      </c>
      <c r="F160" s="158">
        <f>E160*D160</f>
        <v>925558.95466666692</v>
      </c>
    </row>
    <row r="161" spans="1:6" ht="19.5" customHeight="1">
      <c r="A161" s="199"/>
      <c r="B161" s="8" t="s">
        <v>29</v>
      </c>
      <c r="C161" s="9"/>
      <c r="D161" s="211"/>
      <c r="E161" s="9"/>
      <c r="F161" s="153"/>
    </row>
    <row r="162" spans="1:6" ht="19.5" customHeight="1">
      <c r="A162" s="199"/>
      <c r="B162" s="13" t="s">
        <v>30</v>
      </c>
      <c r="C162" s="9" t="s">
        <v>28</v>
      </c>
      <c r="D162" s="131">
        <f>D160*(10/17)*1.57</f>
        <v>10.048000000000004</v>
      </c>
      <c r="E162" s="131">
        <v>33500</v>
      </c>
      <c r="F162" s="153">
        <f>E162*D162</f>
        <v>336608.00000000012</v>
      </c>
    </row>
    <row r="163" spans="1:6" ht="19.5" customHeight="1">
      <c r="A163" s="199"/>
      <c r="B163" s="13" t="s">
        <v>11</v>
      </c>
      <c r="C163" s="9" t="s">
        <v>31</v>
      </c>
      <c r="D163" s="116">
        <f>D160*(1/17)*1.57*(1440/50)</f>
        <v>28.938240000000004</v>
      </c>
      <c r="E163" s="131">
        <v>11200</v>
      </c>
      <c r="F163" s="153">
        <f t="shared" ref="F163:F164" si="7">E163*D163</f>
        <v>324108.28800000006</v>
      </c>
    </row>
    <row r="164" spans="1:6" ht="19.5" customHeight="1">
      <c r="A164" s="199"/>
      <c r="B164" s="13" t="s">
        <v>32</v>
      </c>
      <c r="C164" s="9" t="s">
        <v>28</v>
      </c>
      <c r="D164" s="116">
        <f>D160*(6/17)*1.57</f>
        <v>6.0288000000000022</v>
      </c>
      <c r="E164" s="131">
        <v>32500</v>
      </c>
      <c r="F164" s="153">
        <f t="shared" si="7"/>
        <v>195936.00000000006</v>
      </c>
    </row>
    <row r="165" spans="1:6" ht="19.5" customHeight="1">
      <c r="A165" s="199"/>
      <c r="B165" s="8" t="s">
        <v>5</v>
      </c>
      <c r="C165" s="9"/>
      <c r="D165" s="131"/>
      <c r="E165" s="131"/>
      <c r="F165" s="160">
        <f>SUM(F162:F164)</f>
        <v>856652.28800000018</v>
      </c>
    </row>
    <row r="166" spans="1:6" ht="19.5" customHeight="1">
      <c r="A166" s="199"/>
      <c r="B166" s="13"/>
      <c r="C166" s="9"/>
      <c r="D166" s="131"/>
      <c r="E166" s="131"/>
      <c r="F166" s="153"/>
    </row>
    <row r="167" spans="1:6" ht="19.5" customHeight="1">
      <c r="A167" s="198"/>
      <c r="B167" s="8" t="s">
        <v>33</v>
      </c>
      <c r="C167" s="9"/>
      <c r="D167" s="131"/>
      <c r="E167" s="131"/>
      <c r="F167" s="153"/>
    </row>
    <row r="168" spans="1:6" ht="19.5" customHeight="1">
      <c r="A168" s="198"/>
      <c r="B168" s="13" t="s">
        <v>34</v>
      </c>
      <c r="C168" s="9" t="s">
        <v>21</v>
      </c>
      <c r="D168" s="131">
        <f>D160/1.5</f>
        <v>7.2533333333333347</v>
      </c>
      <c r="E168" s="131">
        <v>4500</v>
      </c>
      <c r="F168" s="153">
        <f>E168*D168</f>
        <v>32640.000000000007</v>
      </c>
    </row>
    <row r="169" spans="1:6" ht="19.5" customHeight="1">
      <c r="A169" s="198"/>
      <c r="B169" s="13" t="s">
        <v>7</v>
      </c>
      <c r="C169" s="9" t="s">
        <v>21</v>
      </c>
      <c r="D169" s="131">
        <f>+D168*2</f>
        <v>14.506666666666669</v>
      </c>
      <c r="E169" s="131">
        <v>2500</v>
      </c>
      <c r="F169" s="153">
        <f>E169*D169</f>
        <v>36266.666666666672</v>
      </c>
    </row>
    <row r="170" spans="1:6" ht="19.5" customHeight="1">
      <c r="A170" s="166"/>
      <c r="B170" s="96" t="s">
        <v>9</v>
      </c>
      <c r="C170" s="28"/>
      <c r="D170" s="119"/>
      <c r="E170" s="62"/>
      <c r="F170" s="288">
        <f>SUM(F168:F169)</f>
        <v>68906.666666666686</v>
      </c>
    </row>
    <row r="171" spans="1:6" ht="19.5" customHeight="1">
      <c r="A171" s="197">
        <v>8.01</v>
      </c>
      <c r="B171" s="16" t="s">
        <v>35</v>
      </c>
      <c r="C171" s="35" t="s">
        <v>36</v>
      </c>
      <c r="D171" s="136">
        <f>34*0.25</f>
        <v>8.5</v>
      </c>
      <c r="E171" s="35">
        <f>(F174+F179)/D171</f>
        <v>980</v>
      </c>
      <c r="F171" s="151">
        <f>E171*D171</f>
        <v>8330</v>
      </c>
    </row>
    <row r="172" spans="1:6" ht="19.5" customHeight="1">
      <c r="A172" s="199"/>
      <c r="B172" s="8" t="s">
        <v>29</v>
      </c>
      <c r="C172" s="9"/>
      <c r="D172" s="131"/>
      <c r="E172" s="9"/>
      <c r="F172" s="153"/>
    </row>
    <row r="173" spans="1:6" ht="19.5" customHeight="1">
      <c r="A173" s="198"/>
      <c r="B173" s="13" t="s">
        <v>37</v>
      </c>
      <c r="C173" s="9" t="s">
        <v>38</v>
      </c>
      <c r="D173" s="131">
        <f>D171</f>
        <v>8.5</v>
      </c>
      <c r="E173" s="131">
        <v>500</v>
      </c>
      <c r="F173" s="153">
        <f>E173*D173</f>
        <v>4250</v>
      </c>
    </row>
    <row r="174" spans="1:6" ht="19.5" customHeight="1">
      <c r="A174" s="168"/>
      <c r="B174" s="8" t="s">
        <v>5</v>
      </c>
      <c r="C174" s="12"/>
      <c r="D174" s="133"/>
      <c r="E174" s="133"/>
      <c r="F174" s="160">
        <f>SUM(F173)</f>
        <v>4250</v>
      </c>
    </row>
    <row r="175" spans="1:6" ht="19.5" customHeight="1">
      <c r="A175" s="198"/>
      <c r="B175" s="13"/>
      <c r="C175" s="9"/>
      <c r="D175" s="131"/>
      <c r="E175" s="131"/>
      <c r="F175" s="153"/>
    </row>
    <row r="176" spans="1:6" ht="19.5" customHeight="1">
      <c r="A176" s="233"/>
      <c r="B176" s="8" t="s">
        <v>33</v>
      </c>
      <c r="C176" s="9"/>
      <c r="D176" s="131"/>
      <c r="E176" s="131"/>
      <c r="F176" s="153"/>
    </row>
    <row r="177" spans="1:6" ht="19.5" customHeight="1">
      <c r="A177" s="198"/>
      <c r="B177" s="13" t="s">
        <v>34</v>
      </c>
      <c r="C177" s="9" t="s">
        <v>21</v>
      </c>
      <c r="D177" s="116">
        <f>D171/100</f>
        <v>8.5000000000000006E-2</v>
      </c>
      <c r="E177" s="131">
        <v>18000</v>
      </c>
      <c r="F177" s="153">
        <f>E177*D177</f>
        <v>1530</v>
      </c>
    </row>
    <row r="178" spans="1:6" ht="19.5" customHeight="1">
      <c r="A178" s="198"/>
      <c r="B178" s="13" t="s">
        <v>7</v>
      </c>
      <c r="C178" s="9" t="s">
        <v>21</v>
      </c>
      <c r="D178" s="249">
        <f>+D177*2</f>
        <v>0.17</v>
      </c>
      <c r="E178" s="131">
        <v>15000</v>
      </c>
      <c r="F178" s="153">
        <f>E178*D178</f>
        <v>2550</v>
      </c>
    </row>
    <row r="179" spans="1:6" ht="19.5" customHeight="1">
      <c r="A179" s="168"/>
      <c r="B179" s="8" t="s">
        <v>39</v>
      </c>
      <c r="C179" s="12"/>
      <c r="D179" s="133"/>
      <c r="E179" s="12"/>
      <c r="F179" s="160">
        <f>SUM(F177:F178)</f>
        <v>4080</v>
      </c>
    </row>
    <row r="180" spans="1:6" ht="19.5" customHeight="1">
      <c r="A180" s="168"/>
      <c r="B180" s="8"/>
      <c r="C180" s="12"/>
      <c r="D180" s="133"/>
      <c r="E180" s="12"/>
      <c r="F180" s="160"/>
    </row>
    <row r="181" spans="1:6" s="90" customFormat="1" ht="19.5" customHeight="1">
      <c r="A181" s="166">
        <v>9</v>
      </c>
      <c r="B181" s="480" t="s">
        <v>72</v>
      </c>
      <c r="C181" s="480"/>
      <c r="D181" s="480"/>
      <c r="E181" s="480"/>
      <c r="F181" s="481"/>
    </row>
    <row r="182" spans="1:6" ht="19.5" customHeight="1">
      <c r="A182" s="197">
        <v>9.01</v>
      </c>
      <c r="B182" s="16" t="s">
        <v>40</v>
      </c>
      <c r="C182" s="3" t="s">
        <v>1</v>
      </c>
      <c r="D182" s="115">
        <f>(34*3)-(3.78+1.5)</f>
        <v>96.72</v>
      </c>
      <c r="E182" s="3">
        <f>(F188+F193)/D182</f>
        <v>17119.951541547674</v>
      </c>
      <c r="F182" s="158">
        <f>E182*D182</f>
        <v>1655841.7130984911</v>
      </c>
    </row>
    <row r="183" spans="1:6" ht="19.5" customHeight="1">
      <c r="A183" s="201"/>
      <c r="B183" s="102"/>
      <c r="C183" s="20" t="s">
        <v>28</v>
      </c>
      <c r="D183" s="250">
        <f>D182*0.2</f>
        <v>19.344000000000001</v>
      </c>
      <c r="E183" s="5">
        <f>F182/D183</f>
        <v>85599.757707738361</v>
      </c>
      <c r="F183" s="163"/>
    </row>
    <row r="184" spans="1:6" ht="19.5" customHeight="1">
      <c r="A184" s="198"/>
      <c r="B184" s="8" t="s">
        <v>2</v>
      </c>
      <c r="C184" s="9"/>
      <c r="D184" s="131"/>
      <c r="E184" s="9"/>
      <c r="F184" s="153"/>
    </row>
    <row r="185" spans="1:6" ht="19.5" customHeight="1">
      <c r="A185" s="198"/>
      <c r="B185" s="48" t="s">
        <v>41</v>
      </c>
      <c r="C185" s="9" t="s">
        <v>31</v>
      </c>
      <c r="D185" s="116">
        <f>D183*0.2439*(1/7)*1.54*(1440/50)</f>
        <v>29.893258137599997</v>
      </c>
      <c r="E185" s="131">
        <v>11200</v>
      </c>
      <c r="F185" s="153">
        <f>E185*D185</f>
        <v>334804.49114111997</v>
      </c>
    </row>
    <row r="186" spans="1:6" ht="19.5" customHeight="1">
      <c r="A186" s="198"/>
      <c r="B186" s="48" t="s">
        <v>42</v>
      </c>
      <c r="C186" s="9" t="s">
        <v>28</v>
      </c>
      <c r="D186" s="116">
        <f>D183*0.2439*(6/7)*1.54</f>
        <v>6.2277621119999997</v>
      </c>
      <c r="E186" s="131">
        <v>30500</v>
      </c>
      <c r="F186" s="153">
        <f t="shared" ref="F186:F187" si="8">E186*D186</f>
        <v>189946.744416</v>
      </c>
    </row>
    <row r="187" spans="1:6" ht="19.5" customHeight="1">
      <c r="A187" s="198"/>
      <c r="B187" s="48" t="s">
        <v>43</v>
      </c>
      <c r="C187" s="9" t="s">
        <v>44</v>
      </c>
      <c r="D187" s="116">
        <f>D183*1.15/(0.235*0.1125*0.075)</f>
        <v>11219.215130023642</v>
      </c>
      <c r="E187" s="131">
        <v>58</v>
      </c>
      <c r="F187" s="153">
        <f t="shared" si="8"/>
        <v>650714.47754137125</v>
      </c>
    </row>
    <row r="188" spans="1:6" ht="19.5" customHeight="1">
      <c r="A188" s="168"/>
      <c r="B188" s="60" t="s">
        <v>5</v>
      </c>
      <c r="C188" s="12"/>
      <c r="D188" s="119"/>
      <c r="E188" s="133"/>
      <c r="F188" s="160">
        <f>SUM(F185:F187)</f>
        <v>1175465.7130984911</v>
      </c>
    </row>
    <row r="189" spans="1:6" ht="19.5" customHeight="1">
      <c r="A189" s="198"/>
      <c r="B189" s="48"/>
      <c r="C189" s="9"/>
      <c r="D189" s="116"/>
      <c r="E189" s="131"/>
      <c r="F189" s="153"/>
    </row>
    <row r="190" spans="1:6" ht="19.5" customHeight="1">
      <c r="A190" s="198"/>
      <c r="B190" s="8" t="s">
        <v>6</v>
      </c>
      <c r="C190" s="9"/>
      <c r="D190" s="131"/>
      <c r="E190" s="131"/>
      <c r="F190" s="153"/>
    </row>
    <row r="191" spans="1:6" ht="19.5" customHeight="1">
      <c r="A191" s="198"/>
      <c r="B191" s="13" t="s">
        <v>34</v>
      </c>
      <c r="C191" s="9" t="s">
        <v>8</v>
      </c>
      <c r="D191" s="131">
        <f>D183/1</f>
        <v>19.344000000000001</v>
      </c>
      <c r="E191" s="131">
        <v>6500</v>
      </c>
      <c r="F191" s="153">
        <f>E191*D191</f>
        <v>125736.00000000001</v>
      </c>
    </row>
    <row r="192" spans="1:6" ht="19.5" customHeight="1">
      <c r="A192" s="198"/>
      <c r="B192" s="13" t="s">
        <v>7</v>
      </c>
      <c r="C192" s="9" t="s">
        <v>8</v>
      </c>
      <c r="D192" s="116">
        <f>(D183/1.2)*4</f>
        <v>64.48</v>
      </c>
      <c r="E192" s="131">
        <v>5500</v>
      </c>
      <c r="F192" s="153">
        <f>E192*D192</f>
        <v>354640</v>
      </c>
    </row>
    <row r="193" spans="1:6" ht="19.5" customHeight="1">
      <c r="A193" s="172"/>
      <c r="B193" s="60" t="s">
        <v>9</v>
      </c>
      <c r="C193" s="61"/>
      <c r="D193" s="14"/>
      <c r="E193" s="342"/>
      <c r="F193" s="285">
        <f>SUM(F191:F192)</f>
        <v>480376</v>
      </c>
    </row>
    <row r="194" spans="1:6" ht="19.5" customHeight="1">
      <c r="A194" s="172"/>
      <c r="B194" s="60"/>
      <c r="C194" s="61"/>
      <c r="D194" s="14"/>
      <c r="E194" s="342"/>
      <c r="F194" s="285"/>
    </row>
    <row r="195" spans="1:6" s="90" customFormat="1" ht="19.5" customHeight="1">
      <c r="A195" s="172">
        <v>10</v>
      </c>
      <c r="B195" s="476" t="s">
        <v>79</v>
      </c>
      <c r="C195" s="476"/>
      <c r="D195" s="476"/>
      <c r="E195" s="476"/>
      <c r="F195" s="477"/>
    </row>
    <row r="196" spans="1:6" ht="19.5">
      <c r="A196" s="197">
        <v>10.01</v>
      </c>
      <c r="B196" s="2" t="s">
        <v>74</v>
      </c>
      <c r="C196" s="15" t="s">
        <v>45</v>
      </c>
      <c r="D196" s="173">
        <f>9.5*0.25*0.2</f>
        <v>0.47500000000000003</v>
      </c>
      <c r="E196" s="277">
        <f>(F213+F208+F203)/D196</f>
        <v>176677.80673635306</v>
      </c>
      <c r="F196" s="158">
        <f>E196*D196</f>
        <v>83921.958199767701</v>
      </c>
    </row>
    <row r="197" spans="1:6" ht="19.5">
      <c r="A197" s="233"/>
      <c r="B197" s="175" t="s">
        <v>29</v>
      </c>
      <c r="C197" s="176"/>
      <c r="D197" s="251"/>
      <c r="E197" s="176"/>
      <c r="F197" s="179"/>
    </row>
    <row r="198" spans="1:6" ht="19.5">
      <c r="A198" s="233"/>
      <c r="B198" s="180" t="s">
        <v>14</v>
      </c>
      <c r="C198" s="18" t="s">
        <v>45</v>
      </c>
      <c r="D198" s="251">
        <f>D196*(4/7)*1.57</f>
        <v>0.4261428571428571</v>
      </c>
      <c r="E198" s="178">
        <v>48000</v>
      </c>
      <c r="F198" s="179">
        <f>E198*D198</f>
        <v>20454.857142857141</v>
      </c>
    </row>
    <row r="199" spans="1:6" ht="19.5">
      <c r="A199" s="233"/>
      <c r="B199" s="180" t="s">
        <v>13</v>
      </c>
      <c r="C199" s="18" t="s">
        <v>45</v>
      </c>
      <c r="D199" s="251">
        <f>D196*(2/7)*1.54</f>
        <v>0.20899999999999999</v>
      </c>
      <c r="E199" s="178">
        <v>36500</v>
      </c>
      <c r="F199" s="179">
        <f t="shared" ref="F199:F202" si="9">E199*D199</f>
        <v>7628.5</v>
      </c>
    </row>
    <row r="200" spans="1:6" ht="19.5">
      <c r="A200" s="233"/>
      <c r="B200" s="180" t="s">
        <v>11</v>
      </c>
      <c r="C200" s="176" t="s">
        <v>12</v>
      </c>
      <c r="D200" s="251">
        <f>D196*(1/7)*1.57*(1440/50)</f>
        <v>3.0682285714285711</v>
      </c>
      <c r="E200" s="178">
        <v>11200</v>
      </c>
      <c r="F200" s="179">
        <f t="shared" si="9"/>
        <v>34364.159999999996</v>
      </c>
    </row>
    <row r="201" spans="1:6" ht="19.5">
      <c r="A201" s="204"/>
      <c r="B201" s="101" t="s">
        <v>15</v>
      </c>
      <c r="C201" s="56" t="s">
        <v>16</v>
      </c>
      <c r="D201" s="135">
        <f>D206*10</f>
        <v>0.79166666666666674</v>
      </c>
      <c r="E201" s="134">
        <v>2200</v>
      </c>
      <c r="F201" s="179">
        <f t="shared" si="9"/>
        <v>1741.6666666666667</v>
      </c>
    </row>
    <row r="202" spans="1:6" ht="19.5">
      <c r="A202" s="204"/>
      <c r="B202" s="101" t="s">
        <v>17</v>
      </c>
      <c r="C202" s="56" t="s">
        <v>16</v>
      </c>
      <c r="D202" s="135">
        <f>D207*5</f>
        <v>0.39583333333333337</v>
      </c>
      <c r="E202" s="134">
        <v>1900</v>
      </c>
      <c r="F202" s="179">
        <f t="shared" si="9"/>
        <v>752.08333333333337</v>
      </c>
    </row>
    <row r="203" spans="1:6" ht="19.5">
      <c r="A203" s="233"/>
      <c r="B203" s="175" t="s">
        <v>5</v>
      </c>
      <c r="C203" s="176"/>
      <c r="D203" s="251"/>
      <c r="E203" s="178"/>
      <c r="F203" s="292">
        <f>SUM(F198:F202)</f>
        <v>64941.267142857134</v>
      </c>
    </row>
    <row r="204" spans="1:6" ht="19.5">
      <c r="A204" s="233"/>
      <c r="B204" s="180"/>
      <c r="C204" s="176"/>
      <c r="D204" s="251"/>
      <c r="E204" s="178"/>
      <c r="F204" s="179"/>
    </row>
    <row r="205" spans="1:6" ht="19.5">
      <c r="A205" s="204"/>
      <c r="B205" s="100" t="s">
        <v>19</v>
      </c>
      <c r="C205" s="56"/>
      <c r="D205" s="135"/>
      <c r="E205" s="134"/>
      <c r="F205" s="290"/>
    </row>
    <row r="206" spans="1:6" ht="19.5">
      <c r="A206" s="204"/>
      <c r="B206" s="101" t="s">
        <v>20</v>
      </c>
      <c r="C206" s="56" t="s">
        <v>21</v>
      </c>
      <c r="D206" s="135">
        <f>D196/6</f>
        <v>7.9166666666666677E-2</v>
      </c>
      <c r="E206" s="134">
        <v>65000</v>
      </c>
      <c r="F206" s="290">
        <f>E206*D206</f>
        <v>5145.8333333333339</v>
      </c>
    </row>
    <row r="207" spans="1:6" ht="19.5">
      <c r="A207" s="204"/>
      <c r="B207" s="101" t="s">
        <v>22</v>
      </c>
      <c r="C207" s="56" t="s">
        <v>21</v>
      </c>
      <c r="D207" s="135">
        <f>D196/6</f>
        <v>7.9166666666666677E-2</v>
      </c>
      <c r="E207" s="134">
        <v>65000</v>
      </c>
      <c r="F207" s="290">
        <f>E207*D207</f>
        <v>5145.8333333333339</v>
      </c>
    </row>
    <row r="208" spans="1:6" ht="19.5">
      <c r="A208" s="205"/>
      <c r="B208" s="100" t="s">
        <v>23</v>
      </c>
      <c r="C208" s="57"/>
      <c r="D208" s="122"/>
      <c r="E208" s="259"/>
      <c r="F208" s="291">
        <f>SUM(F206:F207)</f>
        <v>10291.666666666668</v>
      </c>
    </row>
    <row r="209" spans="1:6" ht="19.5">
      <c r="A209" s="205"/>
      <c r="B209" s="100"/>
      <c r="C209" s="57"/>
      <c r="D209" s="122"/>
      <c r="E209" s="259"/>
      <c r="F209" s="291"/>
    </row>
    <row r="210" spans="1:6" ht="19.5">
      <c r="A210" s="236"/>
      <c r="B210" s="175" t="s">
        <v>33</v>
      </c>
      <c r="C210" s="176"/>
      <c r="D210" s="251"/>
      <c r="E210" s="178"/>
      <c r="F210" s="179"/>
    </row>
    <row r="211" spans="1:6" ht="19.5">
      <c r="A211" s="236"/>
      <c r="B211" s="180" t="s">
        <v>34</v>
      </c>
      <c r="C211" s="176" t="s">
        <v>21</v>
      </c>
      <c r="D211" s="251">
        <f>D196/1.64</f>
        <v>0.28963414634146345</v>
      </c>
      <c r="E211" s="131">
        <v>11000</v>
      </c>
      <c r="F211" s="179">
        <f>E211*D211</f>
        <v>3185.975609756098</v>
      </c>
    </row>
    <row r="212" spans="1:6" ht="19.5">
      <c r="A212" s="236"/>
      <c r="B212" s="180" t="s">
        <v>7</v>
      </c>
      <c r="C212" s="176" t="s">
        <v>21</v>
      </c>
      <c r="D212" s="251">
        <f>+D211*2</f>
        <v>0.5792682926829269</v>
      </c>
      <c r="E212" s="131">
        <v>9500</v>
      </c>
      <c r="F212" s="179">
        <f>E212*D212</f>
        <v>5503.0487804878057</v>
      </c>
    </row>
    <row r="213" spans="1:6" s="63" customFormat="1" ht="19.5">
      <c r="A213" s="186"/>
      <c r="B213" s="175" t="s">
        <v>119</v>
      </c>
      <c r="C213" s="183"/>
      <c r="D213" s="252"/>
      <c r="E213" s="183"/>
      <c r="F213" s="292">
        <f>SUM(F211:F212)</f>
        <v>8689.0243902439033</v>
      </c>
    </row>
    <row r="214" spans="1:6" ht="19.5">
      <c r="A214" s="236"/>
      <c r="B214" s="180"/>
      <c r="C214" s="176"/>
      <c r="D214" s="251"/>
      <c r="E214" s="176"/>
      <c r="F214" s="179"/>
    </row>
    <row r="215" spans="1:6" s="63" customFormat="1" ht="19.5">
      <c r="A215" s="186">
        <v>11</v>
      </c>
      <c r="B215" s="484" t="s">
        <v>76</v>
      </c>
      <c r="C215" s="484"/>
      <c r="D215" s="484"/>
      <c r="E215" s="484"/>
      <c r="F215" s="485"/>
    </row>
    <row r="216" spans="1:6" ht="19.5">
      <c r="A216" s="197">
        <v>11.01</v>
      </c>
      <c r="B216" s="98" t="s">
        <v>75</v>
      </c>
      <c r="C216" s="41" t="s">
        <v>36</v>
      </c>
      <c r="D216" s="115">
        <v>72</v>
      </c>
      <c r="E216" s="3">
        <f>(F223+F228+F233)/D216</f>
        <v>10809.212969564313</v>
      </c>
      <c r="F216" s="293">
        <f>E216*D216</f>
        <v>778263.33380863047</v>
      </c>
    </row>
    <row r="217" spans="1:6" ht="19.5">
      <c r="A217" s="201"/>
      <c r="B217" s="19"/>
      <c r="C217" s="20"/>
      <c r="D217" s="135">
        <f>D216*0.05</f>
        <v>3.6</v>
      </c>
      <c r="E217" s="20"/>
      <c r="F217" s="163"/>
    </row>
    <row r="218" spans="1:6" ht="19.5">
      <c r="A218" s="202"/>
      <c r="B218" s="96" t="s">
        <v>2</v>
      </c>
      <c r="C218" s="23"/>
      <c r="D218" s="116"/>
      <c r="E218" s="9"/>
      <c r="F218" s="287"/>
    </row>
    <row r="219" spans="1:6" ht="19.5">
      <c r="A219" s="199"/>
      <c r="B219" s="13" t="s">
        <v>30</v>
      </c>
      <c r="C219" s="9" t="s">
        <v>28</v>
      </c>
      <c r="D219" s="131">
        <f>D216*0.1*1.5</f>
        <v>10.8</v>
      </c>
      <c r="E219" s="131">
        <v>25500</v>
      </c>
      <c r="F219" s="153">
        <f>E219*D219</f>
        <v>275400</v>
      </c>
    </row>
    <row r="220" spans="1:6" ht="19.5">
      <c r="A220" s="202"/>
      <c r="B220" s="97" t="s">
        <v>11</v>
      </c>
      <c r="C220" s="23" t="s">
        <v>12</v>
      </c>
      <c r="D220" s="131">
        <f>D217*(1/13)*1.57*(1440/50)</f>
        <v>12.521353846153847</v>
      </c>
      <c r="E220" s="131">
        <v>11200</v>
      </c>
      <c r="F220" s="153">
        <f t="shared" ref="F220:F222" si="10">E220*D220</f>
        <v>140239.16307692308</v>
      </c>
    </row>
    <row r="221" spans="1:6" ht="19.5">
      <c r="A221" s="202"/>
      <c r="B221" s="97" t="s">
        <v>13</v>
      </c>
      <c r="C221" s="23" t="s">
        <v>10</v>
      </c>
      <c r="D221" s="131">
        <f>D217*(4/13)*1.57</f>
        <v>1.7390769230769232</v>
      </c>
      <c r="E221" s="131">
        <v>36500</v>
      </c>
      <c r="F221" s="153">
        <f t="shared" si="10"/>
        <v>63476.307692307695</v>
      </c>
    </row>
    <row r="222" spans="1:6" ht="19.5">
      <c r="A222" s="202"/>
      <c r="B222" s="97" t="s">
        <v>14</v>
      </c>
      <c r="C222" s="23" t="s">
        <v>10</v>
      </c>
      <c r="D222" s="131">
        <f>D217*(8/13)*1.57</f>
        <v>3.4781538461538464</v>
      </c>
      <c r="E222" s="131">
        <v>43500</v>
      </c>
      <c r="F222" s="153">
        <f t="shared" si="10"/>
        <v>151299.69230769231</v>
      </c>
    </row>
    <row r="223" spans="1:6" ht="19.5">
      <c r="A223" s="166"/>
      <c r="B223" s="96" t="s">
        <v>127</v>
      </c>
      <c r="C223" s="28"/>
      <c r="D223" s="119"/>
      <c r="E223" s="131"/>
      <c r="F223" s="288">
        <f>SUM(F219:F222)</f>
        <v>630415.16307692311</v>
      </c>
    </row>
    <row r="224" spans="1:6" ht="19.5">
      <c r="A224" s="166"/>
      <c r="B224" s="96"/>
      <c r="C224" s="28"/>
      <c r="D224" s="119"/>
      <c r="E224" s="131"/>
      <c r="F224" s="288"/>
    </row>
    <row r="225" spans="1:6" ht="19.5">
      <c r="A225" s="204"/>
      <c r="B225" s="100" t="s">
        <v>19</v>
      </c>
      <c r="C225" s="56"/>
      <c r="D225" s="135"/>
      <c r="E225" s="281"/>
      <c r="F225" s="290"/>
    </row>
    <row r="226" spans="1:6" ht="19.5">
      <c r="A226" s="204"/>
      <c r="B226" s="101" t="s">
        <v>20</v>
      </c>
      <c r="C226" s="56" t="s">
        <v>21</v>
      </c>
      <c r="D226" s="135">
        <f>D212/6</f>
        <v>9.6544715447154483E-2</v>
      </c>
      <c r="E226" s="131">
        <v>8500</v>
      </c>
      <c r="F226" s="290">
        <f>E226*D226</f>
        <v>820.63008130081312</v>
      </c>
    </row>
    <row r="227" spans="1:6" ht="19.5">
      <c r="A227" s="204"/>
      <c r="B227" s="101" t="s">
        <v>22</v>
      </c>
      <c r="C227" s="56" t="s">
        <v>21</v>
      </c>
      <c r="D227" s="135">
        <f>D212/6</f>
        <v>9.6544715447154483E-2</v>
      </c>
      <c r="E227" s="131">
        <v>6500</v>
      </c>
      <c r="F227" s="290">
        <f>E227*D227</f>
        <v>627.54065040650414</v>
      </c>
    </row>
    <row r="228" spans="1:6" ht="19.5">
      <c r="A228" s="205"/>
      <c r="B228" s="100" t="s">
        <v>112</v>
      </c>
      <c r="C228" s="57"/>
      <c r="D228" s="122"/>
      <c r="E228" s="259"/>
      <c r="F228" s="291">
        <f>SUM(F226:F227)</f>
        <v>1448.1707317073174</v>
      </c>
    </row>
    <row r="229" spans="1:6" ht="19.5">
      <c r="A229" s="202"/>
      <c r="B229" s="97"/>
      <c r="C229" s="23"/>
      <c r="D229" s="116"/>
      <c r="E229" s="131"/>
      <c r="F229" s="287"/>
    </row>
    <row r="230" spans="1:6" ht="19.5">
      <c r="A230" s="202"/>
      <c r="B230" s="96" t="s">
        <v>6</v>
      </c>
      <c r="C230" s="23"/>
      <c r="D230" s="116"/>
      <c r="E230" s="131"/>
      <c r="F230" s="287"/>
    </row>
    <row r="231" spans="1:6" ht="19.5">
      <c r="A231" s="202"/>
      <c r="B231" s="97" t="s">
        <v>24</v>
      </c>
      <c r="C231" s="23" t="s">
        <v>21</v>
      </c>
      <c r="D231" s="116">
        <f>(D217/6)*2</f>
        <v>1.2</v>
      </c>
      <c r="E231" s="131">
        <v>18500</v>
      </c>
      <c r="F231" s="287">
        <f>E231*D231</f>
        <v>22200</v>
      </c>
    </row>
    <row r="232" spans="1:6" ht="19.5">
      <c r="A232" s="202"/>
      <c r="B232" s="97" t="s">
        <v>25</v>
      </c>
      <c r="C232" s="23" t="s">
        <v>21</v>
      </c>
      <c r="D232" s="116">
        <f>(D217/6)*18</f>
        <v>10.799999999999999</v>
      </c>
      <c r="E232" s="131">
        <v>11500</v>
      </c>
      <c r="F232" s="287">
        <f>E232*D232</f>
        <v>124199.99999999999</v>
      </c>
    </row>
    <row r="233" spans="1:6" ht="19.5">
      <c r="A233" s="166"/>
      <c r="B233" s="96" t="s">
        <v>113</v>
      </c>
      <c r="C233" s="28"/>
      <c r="D233" s="119"/>
      <c r="E233" s="12"/>
      <c r="F233" s="288">
        <f>SUM(F231:F232)</f>
        <v>146400</v>
      </c>
    </row>
    <row r="234" spans="1:6" ht="19.5">
      <c r="A234" s="202"/>
      <c r="B234" s="97"/>
      <c r="C234" s="23"/>
      <c r="D234" s="116"/>
      <c r="E234" s="9"/>
      <c r="F234" s="287"/>
    </row>
    <row r="235" spans="1:6" ht="19.5">
      <c r="A235" s="197">
        <v>12.01</v>
      </c>
      <c r="B235" s="2" t="s">
        <v>46</v>
      </c>
      <c r="C235" s="65" t="s">
        <v>47</v>
      </c>
      <c r="D235" s="212">
        <v>72</v>
      </c>
      <c r="E235" s="343">
        <f>(F239+F244)/D235</f>
        <v>6241.9761333333336</v>
      </c>
      <c r="F235" s="151">
        <f>E235*D235</f>
        <v>449422.28159999999</v>
      </c>
    </row>
    <row r="236" spans="1:6" ht="19.5">
      <c r="A236" s="199"/>
      <c r="B236" s="60" t="s">
        <v>2</v>
      </c>
      <c r="C236" s="44"/>
      <c r="D236" s="138"/>
      <c r="E236" s="344"/>
      <c r="F236" s="153"/>
    </row>
    <row r="237" spans="1:6" ht="19.5">
      <c r="A237" s="199"/>
      <c r="B237" s="48" t="s">
        <v>11</v>
      </c>
      <c r="C237" s="44" t="s">
        <v>12</v>
      </c>
      <c r="D237" s="138">
        <f>D235*(1/6)*0.032*(1440/50)*1.54</f>
        <v>17.031168000000001</v>
      </c>
      <c r="E237" s="279">
        <v>11200</v>
      </c>
      <c r="F237" s="153">
        <f>E237*D237</f>
        <v>190749.0816</v>
      </c>
    </row>
    <row r="238" spans="1:6" ht="19.5">
      <c r="A238" s="199"/>
      <c r="B238" s="48" t="s">
        <v>13</v>
      </c>
      <c r="C238" s="44" t="s">
        <v>10</v>
      </c>
      <c r="D238" s="138">
        <f>D235*(5/6)*0.032*1.54</f>
        <v>2.9567999999999999</v>
      </c>
      <c r="E238" s="279">
        <v>36500</v>
      </c>
      <c r="F238" s="153">
        <f>E238*D238</f>
        <v>107923.2</v>
      </c>
    </row>
    <row r="239" spans="1:6" ht="19.5">
      <c r="A239" s="166"/>
      <c r="B239" s="96" t="s">
        <v>5</v>
      </c>
      <c r="C239" s="28"/>
      <c r="D239" s="119"/>
      <c r="E239" s="259"/>
      <c r="F239" s="288">
        <f>SUM(F237:F238)</f>
        <v>298672.28159999999</v>
      </c>
    </row>
    <row r="240" spans="1:6" ht="19.5">
      <c r="A240" s="202"/>
      <c r="B240" s="97"/>
      <c r="C240" s="23"/>
      <c r="D240" s="116"/>
      <c r="E240" s="131"/>
      <c r="F240" s="287"/>
    </row>
    <row r="241" spans="1:6" ht="19.5">
      <c r="A241" s="202"/>
      <c r="B241" s="96" t="s">
        <v>6</v>
      </c>
      <c r="C241" s="23"/>
      <c r="D241" s="116"/>
      <c r="E241" s="131"/>
      <c r="F241" s="287"/>
    </row>
    <row r="242" spans="1:6" ht="19.5">
      <c r="A242" s="202"/>
      <c r="B242" s="97" t="s">
        <v>34</v>
      </c>
      <c r="C242" s="23" t="s">
        <v>8</v>
      </c>
      <c r="D242" s="116">
        <f>D235/16</f>
        <v>4.5</v>
      </c>
      <c r="E242" s="131">
        <v>14500</v>
      </c>
      <c r="F242" s="287">
        <f>E242*D242</f>
        <v>65250</v>
      </c>
    </row>
    <row r="243" spans="1:6" ht="19.5">
      <c r="A243" s="202"/>
      <c r="B243" s="97" t="s">
        <v>7</v>
      </c>
      <c r="C243" s="23" t="s">
        <v>8</v>
      </c>
      <c r="D243" s="116">
        <f>D242*2</f>
        <v>9</v>
      </c>
      <c r="E243" s="131">
        <v>9500</v>
      </c>
      <c r="F243" s="287">
        <f>E243*D243</f>
        <v>85500</v>
      </c>
    </row>
    <row r="244" spans="1:6" ht="19.5">
      <c r="A244" s="166"/>
      <c r="B244" s="96" t="s">
        <v>9</v>
      </c>
      <c r="C244" s="28"/>
      <c r="D244" s="119"/>
      <c r="E244" s="12"/>
      <c r="F244" s="288">
        <f>SUM(F242:F243)</f>
        <v>150750</v>
      </c>
    </row>
    <row r="245" spans="1:6" ht="19.5">
      <c r="A245" s="166"/>
      <c r="B245" s="96"/>
      <c r="C245" s="28"/>
      <c r="D245" s="119"/>
      <c r="E245" s="12"/>
      <c r="F245" s="288"/>
    </row>
    <row r="246" spans="1:6" s="90" customFormat="1" ht="19.5">
      <c r="A246" s="166">
        <v>13</v>
      </c>
      <c r="B246" s="480" t="s">
        <v>48</v>
      </c>
      <c r="C246" s="480"/>
      <c r="D246" s="480"/>
      <c r="E246" s="480"/>
      <c r="F246" s="481"/>
    </row>
    <row r="247" spans="1:6" ht="19.5">
      <c r="A247" s="203">
        <v>13.01</v>
      </c>
      <c r="B247" s="16" t="s">
        <v>49</v>
      </c>
      <c r="C247" s="35" t="s">
        <v>50</v>
      </c>
      <c r="D247" s="123">
        <f>(34*3)-(3.78+1.5)</f>
        <v>96.72</v>
      </c>
      <c r="E247" s="36">
        <f>(F256+F251)/D247</f>
        <v>3314.7471999999998</v>
      </c>
      <c r="F247" s="151">
        <f>E247*D247</f>
        <v>320602.34918399999</v>
      </c>
    </row>
    <row r="248" spans="1:6" ht="19.5">
      <c r="A248" s="202"/>
      <c r="B248" s="60" t="s">
        <v>51</v>
      </c>
      <c r="C248" s="44"/>
      <c r="D248" s="131"/>
      <c r="E248" s="9"/>
      <c r="F248" s="153"/>
    </row>
    <row r="249" spans="1:6" ht="19.5">
      <c r="A249" s="201"/>
      <c r="B249" s="48" t="s">
        <v>52</v>
      </c>
      <c r="C249" s="44" t="s">
        <v>12</v>
      </c>
      <c r="D249" s="116">
        <f>D247*0.015*(1/5)*1.54*(1440/50)</f>
        <v>12.869176319999999</v>
      </c>
      <c r="E249" s="279">
        <v>11200</v>
      </c>
      <c r="F249" s="153">
        <f>E249*D249</f>
        <v>144134.77478399998</v>
      </c>
    </row>
    <row r="250" spans="1:6" ht="19.5">
      <c r="A250" s="237"/>
      <c r="B250" s="48" t="s">
        <v>13</v>
      </c>
      <c r="C250" s="44" t="s">
        <v>28</v>
      </c>
      <c r="D250" s="116">
        <f>D247*0.015*1.54*(4/5)</f>
        <v>1.7873856000000001</v>
      </c>
      <c r="E250" s="279">
        <v>36500</v>
      </c>
      <c r="F250" s="153">
        <f>E250*D250</f>
        <v>65239.574400000005</v>
      </c>
    </row>
    <row r="251" spans="1:6" ht="19.5">
      <c r="A251" s="190"/>
      <c r="B251" s="60" t="s">
        <v>5</v>
      </c>
      <c r="C251" s="61"/>
      <c r="D251" s="119"/>
      <c r="E251" s="259"/>
      <c r="F251" s="160">
        <f>SUM(F249:F250)</f>
        <v>209374.34918399999</v>
      </c>
    </row>
    <row r="252" spans="1:6" ht="19.5">
      <c r="A252" s="237"/>
      <c r="B252" s="48"/>
      <c r="C252" s="44"/>
      <c r="D252" s="116"/>
      <c r="E252" s="131"/>
      <c r="F252" s="153"/>
    </row>
    <row r="253" spans="1:6" ht="19.5">
      <c r="A253" s="237"/>
      <c r="B253" s="60" t="s">
        <v>53</v>
      </c>
      <c r="C253" s="44"/>
      <c r="D253" s="131"/>
      <c r="E253" s="131"/>
      <c r="F253" s="153"/>
    </row>
    <row r="254" spans="1:6" ht="19.5">
      <c r="A254" s="237"/>
      <c r="B254" s="48" t="s">
        <v>34</v>
      </c>
      <c r="C254" s="44" t="s">
        <v>8</v>
      </c>
      <c r="D254" s="116">
        <f>D247/10</f>
        <v>9.6720000000000006</v>
      </c>
      <c r="E254" s="131">
        <v>3500</v>
      </c>
      <c r="F254" s="153">
        <f>E254*D254</f>
        <v>33852</v>
      </c>
    </row>
    <row r="255" spans="1:6" ht="19.5">
      <c r="A255" s="237"/>
      <c r="B255" s="48" t="s">
        <v>7</v>
      </c>
      <c r="C255" s="44" t="s">
        <v>8</v>
      </c>
      <c r="D255" s="131">
        <f>D254*4</f>
        <v>38.688000000000002</v>
      </c>
      <c r="E255" s="131">
        <v>2000</v>
      </c>
      <c r="F255" s="153">
        <f>E255*D255</f>
        <v>77376</v>
      </c>
    </row>
    <row r="256" spans="1:6" ht="19.5">
      <c r="A256" s="238"/>
      <c r="B256" s="96" t="s">
        <v>54</v>
      </c>
      <c r="C256" s="49"/>
      <c r="D256" s="131"/>
      <c r="E256" s="50"/>
      <c r="F256" s="160">
        <f>SUM(F254:F255)</f>
        <v>111228</v>
      </c>
    </row>
    <row r="257" spans="1:6" ht="19.5">
      <c r="A257" s="198"/>
      <c r="B257" s="48"/>
      <c r="C257" s="44"/>
      <c r="D257" s="131"/>
      <c r="E257" s="9"/>
      <c r="F257" s="153"/>
    </row>
    <row r="258" spans="1:6" s="90" customFormat="1" ht="19.5">
      <c r="A258" s="190">
        <v>14</v>
      </c>
      <c r="B258" s="103" t="s">
        <v>55</v>
      </c>
      <c r="C258" s="94"/>
      <c r="D258" s="127"/>
      <c r="E258" s="207"/>
      <c r="F258" s="294"/>
    </row>
    <row r="259" spans="1:6" ht="19.5">
      <c r="A259" s="239">
        <v>14.01</v>
      </c>
      <c r="B259" s="16" t="s">
        <v>49</v>
      </c>
      <c r="C259" s="35" t="s">
        <v>1</v>
      </c>
      <c r="D259" s="123">
        <f>D247</f>
        <v>96.72</v>
      </c>
      <c r="E259" s="35">
        <f>(F267+F272)/D259</f>
        <v>3257.672043010753</v>
      </c>
      <c r="F259" s="151">
        <f>E259*D259</f>
        <v>315082.04000000004</v>
      </c>
    </row>
    <row r="260" spans="1:6" ht="19.5">
      <c r="A260" s="198"/>
      <c r="B260" s="60" t="s">
        <v>2</v>
      </c>
      <c r="C260" s="44"/>
      <c r="D260" s="131"/>
      <c r="E260" s="9"/>
      <c r="F260" s="153"/>
    </row>
    <row r="261" spans="1:6" ht="19.5">
      <c r="A261" s="240"/>
      <c r="B261" s="48" t="s">
        <v>56</v>
      </c>
      <c r="C261" s="44" t="s">
        <v>57</v>
      </c>
      <c r="D261" s="131">
        <f>D259*0.07*3</f>
        <v>20.311199999999999</v>
      </c>
      <c r="E261" s="131">
        <f>115000/D261</f>
        <v>5661.9008231911457</v>
      </c>
      <c r="F261" s="153">
        <f>E261*D261</f>
        <v>115000</v>
      </c>
    </row>
    <row r="262" spans="1:6" ht="19.5">
      <c r="A262" s="237"/>
      <c r="B262" s="48" t="str">
        <f>'[1]Emulsion Paint'!$B$19</f>
        <v>Induit/undercoat ( 2 coats)</v>
      </c>
      <c r="C262" s="44" t="s">
        <v>57</v>
      </c>
      <c r="D262" s="131">
        <f>D259*0.07*2</f>
        <v>13.540800000000001</v>
      </c>
      <c r="E262" s="131">
        <f>145000/D262</f>
        <v>10708.377643861515</v>
      </c>
      <c r="F262" s="153">
        <f t="shared" ref="F262:F266" si="11">E262*D262</f>
        <v>145000</v>
      </c>
    </row>
    <row r="263" spans="1:6" ht="19.5">
      <c r="A263" s="237"/>
      <c r="B263" s="48" t="str">
        <f>'[1]Emulsion Paint'!$B$24</f>
        <v>Roller</v>
      </c>
      <c r="C263" s="44" t="s">
        <v>44</v>
      </c>
      <c r="D263" s="116">
        <f>D259/100</f>
        <v>0.96719999999999995</v>
      </c>
      <c r="E263" s="131">
        <v>1100</v>
      </c>
      <c r="F263" s="153">
        <f t="shared" si="11"/>
        <v>1063.9199999999998</v>
      </c>
    </row>
    <row r="264" spans="1:6" ht="19.5">
      <c r="A264" s="237"/>
      <c r="B264" s="48" t="str">
        <f>'[1]Emulsion Paint'!$B$23</f>
        <v>Brush</v>
      </c>
      <c r="C264" s="44" t="s">
        <v>44</v>
      </c>
      <c r="D264" s="116">
        <f>D259/100</f>
        <v>0.96719999999999995</v>
      </c>
      <c r="E264" s="131">
        <v>1100</v>
      </c>
      <c r="F264" s="153">
        <f t="shared" si="11"/>
        <v>1063.9199999999998</v>
      </c>
    </row>
    <row r="265" spans="1:6" ht="19.5">
      <c r="A265" s="237"/>
      <c r="B265" s="48" t="s">
        <v>58</v>
      </c>
      <c r="C265" s="44" t="s">
        <v>59</v>
      </c>
      <c r="D265" s="116">
        <f>D259/100</f>
        <v>0.96719999999999995</v>
      </c>
      <c r="E265" s="131">
        <v>3500</v>
      </c>
      <c r="F265" s="153">
        <f t="shared" si="11"/>
        <v>3385.2</v>
      </c>
    </row>
    <row r="266" spans="1:6" ht="19.5">
      <c r="A266" s="237"/>
      <c r="B266" s="48" t="s">
        <v>60</v>
      </c>
      <c r="C266" s="44" t="s">
        <v>44</v>
      </c>
      <c r="D266" s="116">
        <f>D259/50</f>
        <v>1.9343999999999999</v>
      </c>
      <c r="E266" s="131">
        <v>3500</v>
      </c>
      <c r="F266" s="153">
        <f t="shared" si="11"/>
        <v>6770.4</v>
      </c>
    </row>
    <row r="267" spans="1:6" ht="19.5">
      <c r="A267" s="190"/>
      <c r="B267" s="60" t="s">
        <v>61</v>
      </c>
      <c r="C267" s="61"/>
      <c r="D267" s="119"/>
      <c r="E267" s="131"/>
      <c r="F267" s="160">
        <f>SUM(F261:F266)</f>
        <v>272283.44000000006</v>
      </c>
    </row>
    <row r="268" spans="1:6" ht="19.5">
      <c r="A268" s="237"/>
      <c r="B268" s="48"/>
      <c r="C268" s="44"/>
      <c r="D268" s="116"/>
      <c r="E268" s="131"/>
      <c r="F268" s="153"/>
    </row>
    <row r="269" spans="1:6" ht="19.5">
      <c r="A269" s="237"/>
      <c r="B269" s="60" t="s">
        <v>6</v>
      </c>
      <c r="C269" s="44"/>
      <c r="D269" s="131"/>
      <c r="E269" s="131"/>
      <c r="F269" s="153"/>
    </row>
    <row r="270" spans="1:6" ht="19.5">
      <c r="A270" s="237"/>
      <c r="B270" s="48" t="s">
        <v>7</v>
      </c>
      <c r="C270" s="44" t="s">
        <v>62</v>
      </c>
      <c r="D270" s="131">
        <f>D271</f>
        <v>7.1330999999999998</v>
      </c>
      <c r="E270" s="131">
        <v>3500</v>
      </c>
      <c r="F270" s="153">
        <f>E270*D270</f>
        <v>24965.85</v>
      </c>
    </row>
    <row r="271" spans="1:6" ht="19.5">
      <c r="A271" s="237"/>
      <c r="B271" s="48" t="s">
        <v>63</v>
      </c>
      <c r="C271" s="44" t="s">
        <v>62</v>
      </c>
      <c r="D271" s="131">
        <f>D259*(0.59/8)</f>
        <v>7.1330999999999998</v>
      </c>
      <c r="E271" s="131">
        <v>2500</v>
      </c>
      <c r="F271" s="153">
        <f>E271*D271</f>
        <v>17832.75</v>
      </c>
    </row>
    <row r="272" spans="1:6" ht="19.5">
      <c r="A272" s="166"/>
      <c r="B272" s="96" t="s">
        <v>9</v>
      </c>
      <c r="C272" s="28"/>
      <c r="D272" s="119"/>
      <c r="F272" s="288">
        <f>SUM(F270:F271)</f>
        <v>42798.6</v>
      </c>
    </row>
    <row r="273" spans="1:6" ht="19.5">
      <c r="A273" s="241"/>
      <c r="B273" s="105"/>
      <c r="C273" s="47"/>
      <c r="D273" s="126"/>
      <c r="F273" s="295"/>
    </row>
    <row r="274" spans="1:6" s="90" customFormat="1" ht="19.5">
      <c r="A274" s="166">
        <v>15</v>
      </c>
      <c r="B274" s="480" t="s">
        <v>126</v>
      </c>
      <c r="C274" s="480"/>
      <c r="D274" s="480"/>
      <c r="E274" s="480"/>
      <c r="F274" s="481"/>
    </row>
    <row r="275" spans="1:6" ht="19.5">
      <c r="A275" s="203">
        <v>15.01</v>
      </c>
      <c r="B275" s="16" t="s">
        <v>64</v>
      </c>
      <c r="C275" s="35" t="s">
        <v>50</v>
      </c>
      <c r="D275" s="136">
        <f>D259</f>
        <v>96.72</v>
      </c>
      <c r="E275" s="36">
        <f>(F280+F285)/D275</f>
        <v>3636.377433333334</v>
      </c>
      <c r="F275" s="151">
        <f>E275*D275</f>
        <v>351710.42535200005</v>
      </c>
    </row>
    <row r="276" spans="1:6" ht="19.5">
      <c r="A276" s="202"/>
      <c r="B276" s="60" t="s">
        <v>51</v>
      </c>
      <c r="C276" s="44"/>
      <c r="D276" s="131"/>
      <c r="E276" s="9"/>
      <c r="F276" s="153"/>
    </row>
    <row r="277" spans="1:6" ht="19.5">
      <c r="A277" s="201"/>
      <c r="B277" s="48" t="s">
        <v>52</v>
      </c>
      <c r="C277" s="44" t="s">
        <v>12</v>
      </c>
      <c r="D277" s="116">
        <f>D275*0.01*(1/4)*1.54*(1440/50)+(D275*0.003*(1/6)*1.57*(1440/50))</f>
        <v>12.910959360000003</v>
      </c>
      <c r="E277" s="279">
        <v>11200</v>
      </c>
      <c r="F277" s="153">
        <f>E277*D277</f>
        <v>144602.74483200003</v>
      </c>
    </row>
    <row r="278" spans="1:6" ht="19.5">
      <c r="A278" s="237"/>
      <c r="B278" s="48" t="s">
        <v>13</v>
      </c>
      <c r="C278" s="44" t="s">
        <v>28</v>
      </c>
      <c r="D278" s="116">
        <f>D275*0.01*1.5*1.54*(3/4)</f>
        <v>1.6756739999999999</v>
      </c>
      <c r="E278" s="279">
        <v>36500</v>
      </c>
      <c r="F278" s="153">
        <f t="shared" ref="F278:F279" si="12">E278*D278</f>
        <v>61162.100999999995</v>
      </c>
    </row>
    <row r="279" spans="1:6" ht="19.5">
      <c r="A279" s="237"/>
      <c r="B279" s="48" t="s">
        <v>65</v>
      </c>
      <c r="C279" s="44" t="s">
        <v>31</v>
      </c>
      <c r="D279" s="116">
        <f>D275*0.003*(5/6)*1.57*(1440/50)</f>
        <v>10.933228800000002</v>
      </c>
      <c r="E279" s="134">
        <v>10400</v>
      </c>
      <c r="F279" s="153">
        <f t="shared" si="12"/>
        <v>113705.57952000001</v>
      </c>
    </row>
    <row r="280" spans="1:6" ht="19.5">
      <c r="A280" s="93"/>
      <c r="B280" s="60" t="s">
        <v>5</v>
      </c>
      <c r="C280" s="61"/>
      <c r="D280" s="119"/>
      <c r="E280" s="131"/>
      <c r="F280" s="160">
        <f>SUM(F277:F279)</f>
        <v>319470.42535200005</v>
      </c>
    </row>
    <row r="281" spans="1:6" ht="19.5">
      <c r="A281" s="92"/>
      <c r="B281" s="48"/>
      <c r="C281" s="44"/>
      <c r="D281" s="116"/>
      <c r="E281" s="131"/>
      <c r="F281" s="153"/>
    </row>
    <row r="282" spans="1:6" ht="19.5">
      <c r="A282" s="92"/>
      <c r="B282" s="60" t="s">
        <v>53</v>
      </c>
      <c r="C282" s="44"/>
      <c r="D282" s="131"/>
      <c r="E282" s="281"/>
      <c r="F282" s="153"/>
    </row>
    <row r="283" spans="1:6" ht="19.5">
      <c r="A283" s="92"/>
      <c r="B283" s="48" t="s">
        <v>34</v>
      </c>
      <c r="C283" s="44" t="s">
        <v>8</v>
      </c>
      <c r="D283" s="116">
        <f>D275/15</f>
        <v>6.4479999999999995</v>
      </c>
      <c r="E283" s="131">
        <v>1800</v>
      </c>
      <c r="F283" s="153">
        <f>E283*D283</f>
        <v>11606.4</v>
      </c>
    </row>
    <row r="284" spans="1:6" ht="19.5">
      <c r="A284" s="92"/>
      <c r="B284" s="48" t="s">
        <v>7</v>
      </c>
      <c r="C284" s="44" t="s">
        <v>8</v>
      </c>
      <c r="D284" s="131">
        <f>D283*4</f>
        <v>25.791999999999998</v>
      </c>
      <c r="E284" s="131">
        <v>800</v>
      </c>
      <c r="F284" s="153">
        <f>E284*D284</f>
        <v>20633.599999999999</v>
      </c>
    </row>
    <row r="285" spans="1:6" ht="19.5">
      <c r="A285" s="93"/>
      <c r="B285" s="96" t="s">
        <v>54</v>
      </c>
      <c r="C285" s="61"/>
      <c r="D285" s="133"/>
      <c r="E285" s="12"/>
      <c r="F285" s="160">
        <f>SUM(F283:F284)</f>
        <v>32240</v>
      </c>
    </row>
    <row r="286" spans="1:6" ht="19.5">
      <c r="A286" s="91"/>
      <c r="B286" s="97"/>
      <c r="C286" s="23"/>
      <c r="D286" s="116"/>
      <c r="E286" s="9"/>
      <c r="F286" s="287"/>
    </row>
    <row r="287" spans="1:6" ht="19.7" customHeight="1">
      <c r="A287" s="84">
        <v>16</v>
      </c>
      <c r="B287" s="480" t="s">
        <v>143</v>
      </c>
      <c r="C287" s="480"/>
      <c r="D287" s="480"/>
      <c r="E287" s="480"/>
      <c r="F287" s="481"/>
    </row>
    <row r="288" spans="1:6" ht="19.5">
      <c r="A288" s="206">
        <v>16.010000000000002</v>
      </c>
      <c r="B288" s="16" t="s">
        <v>66</v>
      </c>
      <c r="C288" s="35" t="s">
        <v>1</v>
      </c>
      <c r="D288" s="136">
        <f>D275+D247</f>
        <v>193.44</v>
      </c>
      <c r="E288" s="136">
        <f>(F298+F303)/D288</f>
        <v>3338.2879445822996</v>
      </c>
      <c r="F288" s="151">
        <f>E288*D288</f>
        <v>645758.42000000004</v>
      </c>
    </row>
    <row r="289" spans="1:7" ht="19.5">
      <c r="A289" s="91"/>
      <c r="B289" s="60" t="s">
        <v>2</v>
      </c>
      <c r="C289" s="44"/>
      <c r="D289" s="131"/>
      <c r="E289" s="131"/>
      <c r="F289" s="153"/>
    </row>
    <row r="290" spans="1:7" ht="19.5">
      <c r="A290" s="91"/>
      <c r="B290" s="48" t="str">
        <f>'[1]Emulsion Paint'!$B$22</f>
        <v>Emulsion paint ( 3 coats)</v>
      </c>
      <c r="C290" s="44" t="s">
        <v>57</v>
      </c>
      <c r="D290" s="131">
        <f>D288*0.07*3</f>
        <v>40.622399999999999</v>
      </c>
      <c r="E290" s="131">
        <f>115000/D290</f>
        <v>2830.9504115955729</v>
      </c>
      <c r="F290" s="153">
        <f>E290*D290</f>
        <v>115000</v>
      </c>
    </row>
    <row r="291" spans="1:7" ht="19.5">
      <c r="A291" s="229"/>
      <c r="B291" s="48" t="str">
        <f>'[1]Emulsion Paint'!$B$20</f>
        <v>Whiting/stucco ( 2 coats)</v>
      </c>
      <c r="C291" s="44" t="s">
        <v>67</v>
      </c>
      <c r="D291" s="131">
        <f>D288*((50*2)/65)*2</f>
        <v>595.20000000000005</v>
      </c>
      <c r="E291" s="131">
        <f>145000/D291</f>
        <v>243.61559139784944</v>
      </c>
      <c r="F291" s="153">
        <f t="shared" ref="F291:F297" si="13">E291*D291</f>
        <v>145000</v>
      </c>
    </row>
    <row r="292" spans="1:7" ht="19.5">
      <c r="A292" s="92"/>
      <c r="B292" s="48" t="str">
        <f>'[1]Emulsion Paint'!$B$19</f>
        <v>Induit/undercoat ( 2 coats)</v>
      </c>
      <c r="C292" s="44" t="s">
        <v>57</v>
      </c>
      <c r="D292" s="131">
        <f>D288*0.07*2</f>
        <v>27.081600000000002</v>
      </c>
      <c r="E292" s="131">
        <v>1100</v>
      </c>
      <c r="F292" s="153">
        <f t="shared" si="13"/>
        <v>29789.760000000002</v>
      </c>
    </row>
    <row r="293" spans="1:7" ht="19.5">
      <c r="A293" s="92"/>
      <c r="B293" s="48" t="s">
        <v>68</v>
      </c>
      <c r="C293" s="44" t="s">
        <v>57</v>
      </c>
      <c r="D293" s="131">
        <f>D288*((30/65)*2)</f>
        <v>178.56</v>
      </c>
      <c r="E293" s="131">
        <v>1100</v>
      </c>
      <c r="F293" s="153">
        <f t="shared" si="13"/>
        <v>196416</v>
      </c>
    </row>
    <row r="294" spans="1:7" ht="19.5">
      <c r="A294" s="92"/>
      <c r="B294" s="48" t="str">
        <f>'[1]Emulsion Paint'!$B$21</f>
        <v>Colle</v>
      </c>
      <c r="C294" s="44" t="s">
        <v>69</v>
      </c>
      <c r="D294" s="131">
        <f>D288*((1/65)*2)</f>
        <v>5.952</v>
      </c>
      <c r="E294" s="131">
        <v>3500</v>
      </c>
      <c r="F294" s="153">
        <f t="shared" si="13"/>
        <v>20832</v>
      </c>
    </row>
    <row r="295" spans="1:7" ht="19.5">
      <c r="A295" s="92"/>
      <c r="B295" s="48" t="str">
        <f>'[1]Emulsion Paint'!$B$24</f>
        <v>Roller</v>
      </c>
      <c r="C295" s="44" t="s">
        <v>44</v>
      </c>
      <c r="D295" s="116">
        <f>D288/100</f>
        <v>1.9343999999999999</v>
      </c>
      <c r="E295" s="131">
        <v>3500</v>
      </c>
      <c r="F295" s="153">
        <f t="shared" si="13"/>
        <v>6770.4</v>
      </c>
    </row>
    <row r="296" spans="1:7" ht="19.5">
      <c r="A296" s="92"/>
      <c r="B296" s="48" t="str">
        <f>'[1]Emulsion Paint'!$B$23</f>
        <v>Brush</v>
      </c>
      <c r="C296" s="44" t="s">
        <v>44</v>
      </c>
      <c r="D296" s="116">
        <f>D288/100</f>
        <v>1.9343999999999999</v>
      </c>
      <c r="E296" s="131">
        <v>3500</v>
      </c>
      <c r="F296" s="153">
        <f t="shared" si="13"/>
        <v>6770.4</v>
      </c>
    </row>
    <row r="297" spans="1:7" ht="19.5">
      <c r="A297" s="92"/>
      <c r="B297" s="48" t="s">
        <v>58</v>
      </c>
      <c r="C297" s="44" t="s">
        <v>59</v>
      </c>
      <c r="D297" s="116">
        <f>D288/100</f>
        <v>1.9343999999999999</v>
      </c>
      <c r="E297" s="131">
        <v>3500</v>
      </c>
      <c r="F297" s="153">
        <f t="shared" si="13"/>
        <v>6770.4</v>
      </c>
    </row>
    <row r="298" spans="1:7" ht="19.5">
      <c r="A298" s="93"/>
      <c r="B298" s="60" t="s">
        <v>5</v>
      </c>
      <c r="C298" s="61"/>
      <c r="D298" s="119"/>
      <c r="E298" s="131"/>
      <c r="F298" s="160">
        <f>SUM(F290:F297)</f>
        <v>527348.96000000008</v>
      </c>
      <c r="G298" s="67"/>
    </row>
    <row r="299" spans="1:7" ht="19.5">
      <c r="A299" s="92"/>
      <c r="B299" s="48"/>
      <c r="C299" s="44"/>
      <c r="D299" s="116"/>
      <c r="E299" s="281"/>
      <c r="F299" s="153"/>
    </row>
    <row r="300" spans="1:7" ht="19.5">
      <c r="A300" s="92"/>
      <c r="B300" s="60" t="s">
        <v>6</v>
      </c>
      <c r="C300" s="44"/>
      <c r="D300" s="131"/>
      <c r="E300" s="281"/>
      <c r="F300" s="153"/>
    </row>
    <row r="301" spans="1:7" ht="19.5">
      <c r="A301" s="92"/>
      <c r="B301" s="48" t="s">
        <v>7</v>
      </c>
      <c r="C301" s="44" t="s">
        <v>62</v>
      </c>
      <c r="D301" s="131">
        <f>D302</f>
        <v>14.2662</v>
      </c>
      <c r="E301" s="131">
        <v>5500</v>
      </c>
      <c r="F301" s="153">
        <f>E301*D301</f>
        <v>78464.099999999991</v>
      </c>
    </row>
    <row r="302" spans="1:7" ht="19.5">
      <c r="A302" s="92"/>
      <c r="B302" s="48" t="s">
        <v>70</v>
      </c>
      <c r="C302" s="44" t="s">
        <v>62</v>
      </c>
      <c r="D302" s="131">
        <f>D288*(0.59/8)</f>
        <v>14.2662</v>
      </c>
      <c r="E302" s="131">
        <v>2800</v>
      </c>
      <c r="F302" s="153">
        <f>E302*D302</f>
        <v>39945.360000000001</v>
      </c>
    </row>
    <row r="303" spans="1:7" ht="19.5">
      <c r="A303" s="93"/>
      <c r="B303" s="60" t="s">
        <v>54</v>
      </c>
      <c r="C303" s="61"/>
      <c r="D303" s="133"/>
      <c r="E303" s="133"/>
      <c r="F303" s="160">
        <f>SUM(F301:F302)</f>
        <v>118409.45999999999</v>
      </c>
    </row>
    <row r="304" spans="1:7" ht="19.5">
      <c r="A304" s="93"/>
      <c r="B304" s="60"/>
      <c r="C304" s="61"/>
      <c r="D304" s="133"/>
      <c r="E304" s="133"/>
      <c r="F304" s="160"/>
    </row>
    <row r="305" spans="1:6" ht="36.75" customHeight="1">
      <c r="A305" s="315">
        <v>17</v>
      </c>
      <c r="B305" s="471" t="s">
        <v>133</v>
      </c>
      <c r="C305" s="471"/>
      <c r="D305" s="471"/>
      <c r="E305" s="471"/>
      <c r="F305" s="472"/>
    </row>
    <row r="306" spans="1:6" ht="19.5">
      <c r="A306" s="1">
        <v>17.010000000000002</v>
      </c>
      <c r="B306" s="2" t="s">
        <v>166</v>
      </c>
      <c r="C306" s="270" t="s">
        <v>131</v>
      </c>
      <c r="D306" s="268">
        <v>6</v>
      </c>
      <c r="E306" s="4">
        <f>(F309+F314)/D306</f>
        <v>58500</v>
      </c>
      <c r="F306" s="301">
        <f>E306*D306</f>
        <v>351000</v>
      </c>
    </row>
    <row r="307" spans="1:6" ht="19.5">
      <c r="A307" s="227"/>
      <c r="B307" s="8" t="s">
        <v>29</v>
      </c>
      <c r="C307" s="9"/>
      <c r="D307" s="131"/>
      <c r="E307" s="131"/>
      <c r="F307" s="153"/>
    </row>
    <row r="308" spans="1:6" ht="19.5">
      <c r="A308" s="86"/>
      <c r="B308" s="48" t="s">
        <v>145</v>
      </c>
      <c r="C308" s="248" t="s">
        <v>131</v>
      </c>
      <c r="D308" s="267">
        <v>6</v>
      </c>
      <c r="E308" s="131">
        <f>30000*(1*1.5)</f>
        <v>45000</v>
      </c>
      <c r="F308" s="302">
        <f>E308*D308</f>
        <v>270000</v>
      </c>
    </row>
    <row r="309" spans="1:6" ht="19.5">
      <c r="A309" s="87"/>
      <c r="B309" s="8" t="s">
        <v>5</v>
      </c>
      <c r="C309" s="12"/>
      <c r="D309" s="133"/>
      <c r="E309" s="133"/>
      <c r="F309" s="160">
        <f>SUM(F308)</f>
        <v>270000</v>
      </c>
    </row>
    <row r="310" spans="1:6" ht="19.5">
      <c r="A310" s="86"/>
      <c r="B310" s="13"/>
      <c r="C310" s="9"/>
      <c r="D310" s="131"/>
      <c r="E310" s="131"/>
      <c r="F310" s="153"/>
    </row>
    <row r="311" spans="1:6" ht="19.5">
      <c r="A311" s="228"/>
      <c r="B311" s="8" t="s">
        <v>33</v>
      </c>
      <c r="C311" s="9"/>
      <c r="D311" s="131"/>
      <c r="E311" s="131"/>
      <c r="F311" s="153"/>
    </row>
    <row r="312" spans="1:6" ht="19.5">
      <c r="A312" s="86"/>
      <c r="B312" s="13" t="s">
        <v>34</v>
      </c>
      <c r="C312" s="9" t="s">
        <v>21</v>
      </c>
      <c r="D312" s="116">
        <f>D308/2</f>
        <v>3</v>
      </c>
      <c r="E312" s="131">
        <f>E308*0.15</f>
        <v>6750</v>
      </c>
      <c r="F312" s="153">
        <f>E312*D312</f>
        <v>20250</v>
      </c>
    </row>
    <row r="313" spans="1:6" ht="19.5">
      <c r="A313" s="86"/>
      <c r="B313" s="13" t="s">
        <v>7</v>
      </c>
      <c r="C313" s="9" t="s">
        <v>21</v>
      </c>
      <c r="D313" s="116">
        <f>+D312*4</f>
        <v>12</v>
      </c>
      <c r="E313" s="131">
        <f>E312*1.5/2</f>
        <v>5062.5</v>
      </c>
      <c r="F313" s="153">
        <f>E313*D313</f>
        <v>60750</v>
      </c>
    </row>
    <row r="314" spans="1:6" ht="19.5">
      <c r="A314" s="87"/>
      <c r="B314" s="8" t="s">
        <v>39</v>
      </c>
      <c r="C314" s="12"/>
      <c r="D314" s="133"/>
      <c r="E314" s="133"/>
      <c r="F314" s="160">
        <f>SUM(F312:F313)</f>
        <v>81000</v>
      </c>
    </row>
    <row r="315" spans="1:6">
      <c r="A315" s="316"/>
      <c r="B315" s="48"/>
      <c r="C315" s="305"/>
      <c r="D315" s="317"/>
      <c r="E315" s="307"/>
      <c r="F315" s="308"/>
    </row>
    <row r="316" spans="1:6" ht="37.700000000000003" customHeight="1">
      <c r="A316" s="315">
        <v>18</v>
      </c>
      <c r="B316" s="471" t="s">
        <v>134</v>
      </c>
      <c r="C316" s="471"/>
      <c r="D316" s="471"/>
      <c r="E316" s="471"/>
      <c r="F316" s="472"/>
    </row>
    <row r="317" spans="1:6" ht="19.5">
      <c r="A317" s="1">
        <v>18.010000000000002</v>
      </c>
      <c r="B317" s="2" t="s">
        <v>135</v>
      </c>
      <c r="C317" s="270" t="s">
        <v>131</v>
      </c>
      <c r="D317" s="268">
        <v>1</v>
      </c>
      <c r="E317" s="298">
        <f>(F320+F325)/D317</f>
        <v>294840.00000000006</v>
      </c>
      <c r="F317" s="309">
        <f>E317*D317</f>
        <v>294840.00000000006</v>
      </c>
    </row>
    <row r="318" spans="1:6" ht="19.5">
      <c r="A318" s="227"/>
      <c r="B318" s="8" t="s">
        <v>29</v>
      </c>
      <c r="C318" s="9"/>
      <c r="D318" s="131"/>
      <c r="E318" s="131"/>
      <c r="F318" s="153"/>
    </row>
    <row r="319" spans="1:6" ht="19.5">
      <c r="A319" s="86"/>
      <c r="B319" s="13" t="s">
        <v>168</v>
      </c>
      <c r="C319" s="9" t="s">
        <v>146</v>
      </c>
      <c r="D319" s="131">
        <f>D317</f>
        <v>1</v>
      </c>
      <c r="E319" s="131">
        <f>65000*(1.8*2.1)</f>
        <v>245700.00000000003</v>
      </c>
      <c r="F319" s="153">
        <f>E319*D319</f>
        <v>245700.00000000003</v>
      </c>
    </row>
    <row r="320" spans="1:6" ht="19.5">
      <c r="A320" s="86"/>
      <c r="B320" s="8" t="s">
        <v>5</v>
      </c>
      <c r="C320" s="12"/>
      <c r="D320" s="133"/>
      <c r="E320" s="133"/>
      <c r="F320" s="160">
        <f>SUM(F319)</f>
        <v>245700.00000000003</v>
      </c>
    </row>
    <row r="321" spans="1:6" ht="19.5">
      <c r="A321" s="228"/>
      <c r="B321" s="13"/>
      <c r="C321" s="9"/>
      <c r="D321" s="131"/>
      <c r="E321" s="131"/>
      <c r="F321" s="153"/>
    </row>
    <row r="322" spans="1:6" ht="19.5">
      <c r="A322" s="86"/>
      <c r="B322" s="8" t="s">
        <v>33</v>
      </c>
      <c r="C322" s="9"/>
      <c r="D322" s="131"/>
      <c r="E322" s="131"/>
      <c r="F322" s="153"/>
    </row>
    <row r="323" spans="1:6" ht="19.5">
      <c r="A323" s="86"/>
      <c r="B323" s="13" t="s">
        <v>34</v>
      </c>
      <c r="C323" s="9" t="s">
        <v>21</v>
      </c>
      <c r="D323" s="116">
        <f>D317/2</f>
        <v>0.5</v>
      </c>
      <c r="E323" s="131">
        <f>E319*0.1</f>
        <v>24570.000000000004</v>
      </c>
      <c r="F323" s="153">
        <f>E323*D323</f>
        <v>12285.000000000002</v>
      </c>
    </row>
    <row r="324" spans="1:6" ht="19.5">
      <c r="A324" s="87"/>
      <c r="B324" s="13" t="s">
        <v>7</v>
      </c>
      <c r="C324" s="9" t="s">
        <v>21</v>
      </c>
      <c r="D324" s="116">
        <f>+D323*4</f>
        <v>2</v>
      </c>
      <c r="E324" s="131">
        <f>E323*1.5/2</f>
        <v>18427.500000000004</v>
      </c>
      <c r="F324" s="153">
        <f>E324*D324</f>
        <v>36855.000000000007</v>
      </c>
    </row>
    <row r="325" spans="1:6" ht="16.5">
      <c r="A325" s="311"/>
      <c r="B325" s="312" t="s">
        <v>39</v>
      </c>
      <c r="C325" s="242"/>
      <c r="D325" s="195"/>
      <c r="E325" s="195"/>
      <c r="F325" s="196">
        <f>SUM(F323:F324)</f>
        <v>49140.000000000007</v>
      </c>
    </row>
    <row r="326" spans="1:6" s="345" customFormat="1" ht="37.5">
      <c r="A326" s="346"/>
      <c r="B326" s="486" t="s">
        <v>179</v>
      </c>
      <c r="C326" s="486"/>
      <c r="D326" s="486"/>
      <c r="E326" s="486"/>
      <c r="F326" s="347">
        <f>F317+F306+F288+F275+F259+F247+F235+F216+F196+F182+F171+F160+F147+F136+F125+F112+F100+F89+F78+F58+F40+F30+F22+F14+F7+F3</f>
        <v>9348512.6129950266</v>
      </c>
    </row>
  </sheetData>
  <mergeCells count="15">
    <mergeCell ref="B305:F305"/>
    <mergeCell ref="B316:F316"/>
    <mergeCell ref="B326:E326"/>
    <mergeCell ref="B2:F2"/>
    <mergeCell ref="B13:F13"/>
    <mergeCell ref="B39:F39"/>
    <mergeCell ref="B77:F77"/>
    <mergeCell ref="B124:F124"/>
    <mergeCell ref="B287:F287"/>
    <mergeCell ref="B274:F274"/>
    <mergeCell ref="B246:F246"/>
    <mergeCell ref="B159:F159"/>
    <mergeCell ref="B181:F181"/>
    <mergeCell ref="B195:F195"/>
    <mergeCell ref="B215:F215"/>
  </mergeCells>
  <pageMargins left="0.7" right="0.7" top="0.75" bottom="0.75" header="0.3" footer="0.3"/>
  <ignoredErrors>
    <ignoredError sqref="F6 F21 F29 F57 F88 F99 F135 F14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5"/>
  <sheetViews>
    <sheetView topLeftCell="A323" workbookViewId="0">
      <selection activeCell="E317" sqref="E317:E333"/>
    </sheetView>
  </sheetViews>
  <sheetFormatPr defaultColWidth="8.85546875" defaultRowHeight="15.75"/>
  <cols>
    <col min="1" max="1" width="8.85546875" style="230"/>
    <col min="2" max="2" width="64.85546875" style="106" customWidth="1"/>
    <col min="3" max="3" width="8.85546875" style="108"/>
    <col min="4" max="4" width="16.85546875" style="143" customWidth="1"/>
    <col min="5" max="5" width="22.42578125" style="143" customWidth="1"/>
    <col min="6" max="6" width="31.7109375" style="281" customWidth="1"/>
    <col min="7" max="7" width="9.85546875" bestFit="1" customWidth="1"/>
  </cols>
  <sheetData>
    <row r="1" spans="1:6" s="108" customFormat="1" ht="40.700000000000003" customHeight="1">
      <c r="A1" s="226"/>
      <c r="B1" s="148" t="s">
        <v>120</v>
      </c>
      <c r="C1" s="148" t="s">
        <v>121</v>
      </c>
      <c r="D1" s="148" t="s">
        <v>122</v>
      </c>
      <c r="E1" s="148" t="s">
        <v>123</v>
      </c>
      <c r="F1" s="299" t="s">
        <v>124</v>
      </c>
    </row>
    <row r="2" spans="1:6" ht="19.5" customHeight="1">
      <c r="A2" s="149">
        <v>1</v>
      </c>
      <c r="B2" s="474" t="s">
        <v>93</v>
      </c>
      <c r="C2" s="474"/>
      <c r="D2" s="474"/>
      <c r="E2" s="474"/>
      <c r="F2" s="475"/>
    </row>
    <row r="3" spans="1:6" ht="18.75" customHeight="1">
      <c r="A3" s="197">
        <v>1.01</v>
      </c>
      <c r="B3" s="16" t="s">
        <v>94</v>
      </c>
      <c r="C3" s="35" t="s">
        <v>28</v>
      </c>
      <c r="D3" s="123">
        <f>27.6*0.8*0.4</f>
        <v>8.8320000000000007</v>
      </c>
      <c r="E3" s="136">
        <f>F6/D3</f>
        <v>2222.2222222222222</v>
      </c>
      <c r="F3" s="151">
        <f>E3*D3</f>
        <v>19626.666666666668</v>
      </c>
    </row>
    <row r="4" spans="1:6" ht="18.75" customHeight="1">
      <c r="A4" s="198"/>
      <c r="B4" s="8" t="s">
        <v>6</v>
      </c>
      <c r="C4" s="9"/>
      <c r="D4" s="112"/>
      <c r="E4" s="131"/>
      <c r="F4" s="153"/>
    </row>
    <row r="5" spans="1:6" ht="18.75" customHeight="1">
      <c r="A5" s="198"/>
      <c r="B5" s="13" t="s">
        <v>7</v>
      </c>
      <c r="C5" s="9" t="s">
        <v>8</v>
      </c>
      <c r="D5" s="116">
        <f>D3/0.9</f>
        <v>9.8133333333333344</v>
      </c>
      <c r="E5" s="131">
        <v>2000</v>
      </c>
      <c r="F5" s="153">
        <f>E5*D5</f>
        <v>19626.666666666668</v>
      </c>
    </row>
    <row r="6" spans="1:6" ht="18.75" customHeight="1">
      <c r="A6" s="172"/>
      <c r="B6" s="60" t="s">
        <v>9</v>
      </c>
      <c r="C6" s="61"/>
      <c r="D6" s="118"/>
      <c r="E6" s="141"/>
      <c r="F6" s="285">
        <f>SUM(F5)</f>
        <v>19626.666666666668</v>
      </c>
    </row>
    <row r="7" spans="1:6" ht="18.75" customHeight="1">
      <c r="A7" s="197">
        <v>1.03</v>
      </c>
      <c r="B7" s="16" t="s">
        <v>114</v>
      </c>
      <c r="C7" s="35" t="s">
        <v>28</v>
      </c>
      <c r="D7" s="129">
        <f>(0.75*0.75*1.25)*4</f>
        <v>2.8125</v>
      </c>
      <c r="E7" s="136">
        <f>F11/D7</f>
        <v>1444.4444444444443</v>
      </c>
      <c r="F7" s="151">
        <f>E7*D7</f>
        <v>4062.4999999999995</v>
      </c>
    </row>
    <row r="8" spans="1:6" ht="18.75" customHeight="1">
      <c r="A8" s="198"/>
      <c r="B8" s="8" t="s">
        <v>6</v>
      </c>
      <c r="C8" s="9"/>
      <c r="D8" s="116"/>
      <c r="E8" s="131"/>
      <c r="F8" s="153"/>
    </row>
    <row r="9" spans="1:6" ht="18.75" customHeight="1">
      <c r="A9" s="198"/>
      <c r="B9" s="13" t="s">
        <v>92</v>
      </c>
      <c r="C9" s="9" t="s">
        <v>8</v>
      </c>
      <c r="D9" s="116">
        <f>D10/10</f>
        <v>0.3125</v>
      </c>
      <c r="E9" s="131">
        <v>2500</v>
      </c>
      <c r="F9" s="153">
        <f>E9*D9</f>
        <v>781.25</v>
      </c>
    </row>
    <row r="10" spans="1:6" ht="18.75" customHeight="1">
      <c r="A10" s="198"/>
      <c r="B10" s="13" t="s">
        <v>7</v>
      </c>
      <c r="C10" s="9" t="s">
        <v>8</v>
      </c>
      <c r="D10" s="116">
        <f>D7/0.9</f>
        <v>3.125</v>
      </c>
      <c r="E10" s="131">
        <v>1050</v>
      </c>
      <c r="F10" s="153">
        <f>E10*D10</f>
        <v>3281.25</v>
      </c>
    </row>
    <row r="11" spans="1:6" ht="18.75" customHeight="1">
      <c r="A11" s="172"/>
      <c r="B11" s="60" t="s">
        <v>9</v>
      </c>
      <c r="C11" s="61"/>
      <c r="D11" s="113"/>
      <c r="E11" s="141"/>
      <c r="F11" s="285">
        <f>SUM(F9:F10)</f>
        <v>4062.5</v>
      </c>
    </row>
    <row r="12" spans="1:6" ht="18.75" customHeight="1">
      <c r="A12" s="199"/>
      <c r="B12" s="60"/>
      <c r="C12" s="44"/>
      <c r="D12" s="114"/>
      <c r="E12" s="142"/>
      <c r="F12" s="286"/>
    </row>
    <row r="13" spans="1:6" ht="34.700000000000003" customHeight="1">
      <c r="A13" s="156">
        <v>2</v>
      </c>
      <c r="B13" s="476" t="s">
        <v>0</v>
      </c>
      <c r="C13" s="476"/>
      <c r="D13" s="476"/>
      <c r="E13" s="476"/>
      <c r="F13" s="477"/>
    </row>
    <row r="14" spans="1:6" ht="18.75" customHeight="1">
      <c r="A14" s="200">
        <v>2.0099999999999998</v>
      </c>
      <c r="B14" s="2" t="s">
        <v>71</v>
      </c>
      <c r="C14" s="3" t="s">
        <v>1</v>
      </c>
      <c r="D14" s="115">
        <f>27.6*0.4</f>
        <v>11.040000000000001</v>
      </c>
      <c r="E14" s="132">
        <f>(F21+F17)/D14</f>
        <v>957.62536231884064</v>
      </c>
      <c r="F14" s="158">
        <f>E14*D14</f>
        <v>10572.184000000001</v>
      </c>
    </row>
    <row r="15" spans="1:6" ht="18.75" customHeight="1">
      <c r="A15" s="198"/>
      <c r="B15" s="8" t="s">
        <v>2</v>
      </c>
      <c r="C15" s="9"/>
      <c r="D15" s="116"/>
      <c r="E15" s="131"/>
      <c r="F15" s="153"/>
    </row>
    <row r="16" spans="1:6" ht="18.75" customHeight="1">
      <c r="A16" s="198"/>
      <c r="B16" s="48" t="s">
        <v>3</v>
      </c>
      <c r="C16" s="9" t="s">
        <v>4</v>
      </c>
      <c r="D16" s="116">
        <f>D14/10</f>
        <v>1.1040000000000001</v>
      </c>
      <c r="E16" s="131">
        <v>5500</v>
      </c>
      <c r="F16" s="153">
        <f>E16*D16</f>
        <v>6072.0000000000009</v>
      </c>
    </row>
    <row r="17" spans="1:7" ht="18.75" customHeight="1">
      <c r="A17" s="168"/>
      <c r="B17" s="60" t="s">
        <v>5</v>
      </c>
      <c r="C17" s="12"/>
      <c r="D17" s="119"/>
      <c r="E17" s="133"/>
      <c r="F17" s="160">
        <f>SUM(F16)</f>
        <v>6072.0000000000009</v>
      </c>
    </row>
    <row r="18" spans="1:7" ht="18.75" customHeight="1">
      <c r="A18" s="198"/>
      <c r="B18" s="48"/>
      <c r="C18" s="9"/>
      <c r="D18" s="116"/>
      <c r="E18" s="131"/>
      <c r="F18" s="153"/>
    </row>
    <row r="19" spans="1:7" ht="18.75" customHeight="1">
      <c r="A19" s="198"/>
      <c r="B19" s="8" t="s">
        <v>6</v>
      </c>
      <c r="C19" s="9"/>
      <c r="D19" s="116"/>
      <c r="E19" s="131"/>
      <c r="F19" s="153"/>
      <c r="G19" s="324"/>
    </row>
    <row r="20" spans="1:7" ht="18.75" customHeight="1">
      <c r="A20" s="198"/>
      <c r="B20" s="13" t="s">
        <v>7</v>
      </c>
      <c r="C20" s="9" t="s">
        <v>8</v>
      </c>
      <c r="D20" s="116">
        <f>D14/60</f>
        <v>0.18400000000000002</v>
      </c>
      <c r="E20" s="131">
        <v>4500</v>
      </c>
      <c r="F20" s="153">
        <f>E20+D20</f>
        <v>4500.1840000000002</v>
      </c>
      <c r="G20" s="67"/>
    </row>
    <row r="21" spans="1:7" ht="18.75" customHeight="1">
      <c r="A21" s="172"/>
      <c r="B21" s="60" t="s">
        <v>9</v>
      </c>
      <c r="C21" s="61"/>
      <c r="D21" s="118"/>
      <c r="E21" s="141"/>
      <c r="F21" s="285">
        <f>SUM(F20)</f>
        <v>4500.1840000000002</v>
      </c>
    </row>
    <row r="22" spans="1:7" ht="18.75" customHeight="1">
      <c r="A22" s="200">
        <v>2.02</v>
      </c>
      <c r="B22" s="2" t="s">
        <v>97</v>
      </c>
      <c r="C22" s="3" t="s">
        <v>1</v>
      </c>
      <c r="D22" s="115">
        <v>46.8</v>
      </c>
      <c r="E22" s="132">
        <f>(F29+F25)/D22</f>
        <v>1058.3333333333335</v>
      </c>
      <c r="F22" s="158">
        <f>E22*D22</f>
        <v>49530.000000000007</v>
      </c>
    </row>
    <row r="23" spans="1:7" ht="18.75" customHeight="1">
      <c r="A23" s="198"/>
      <c r="B23" s="8" t="s">
        <v>2</v>
      </c>
      <c r="C23" s="9"/>
      <c r="D23" s="116"/>
      <c r="E23" s="131"/>
      <c r="F23" s="153"/>
    </row>
    <row r="24" spans="1:7" ht="18.75" customHeight="1">
      <c r="A24" s="198"/>
      <c r="B24" s="48" t="s">
        <v>3</v>
      </c>
      <c r="C24" s="9" t="s">
        <v>4</v>
      </c>
      <c r="D24" s="116">
        <f>D22/10</f>
        <v>4.68</v>
      </c>
      <c r="E24" s="131">
        <v>9500</v>
      </c>
      <c r="F24" s="153">
        <f>E24*D24</f>
        <v>44460</v>
      </c>
    </row>
    <row r="25" spans="1:7" ht="18.75" customHeight="1">
      <c r="A25" s="168"/>
      <c r="B25" s="60" t="s">
        <v>5</v>
      </c>
      <c r="C25" s="12"/>
      <c r="D25" s="119"/>
      <c r="E25" s="133"/>
      <c r="F25" s="160">
        <f>SUM(F24)</f>
        <v>44460</v>
      </c>
    </row>
    <row r="26" spans="1:7" ht="18.75" customHeight="1">
      <c r="A26" s="198"/>
      <c r="B26" s="48"/>
      <c r="C26" s="9"/>
      <c r="D26" s="116"/>
      <c r="E26" s="131"/>
      <c r="F26" s="153"/>
    </row>
    <row r="27" spans="1:7" ht="18.75" customHeight="1">
      <c r="A27" s="198"/>
      <c r="B27" s="8" t="s">
        <v>6</v>
      </c>
      <c r="C27" s="9"/>
      <c r="D27" s="116"/>
      <c r="E27" s="131"/>
      <c r="F27" s="153"/>
    </row>
    <row r="28" spans="1:7" ht="18.75" customHeight="1">
      <c r="A28" s="198"/>
      <c r="B28" s="13" t="s">
        <v>7</v>
      </c>
      <c r="C28" s="9" t="s">
        <v>8</v>
      </c>
      <c r="D28" s="116">
        <f>D22/60</f>
        <v>0.77999999999999992</v>
      </c>
      <c r="E28" s="131">
        <v>6500</v>
      </c>
      <c r="F28" s="153">
        <f>E28*D28</f>
        <v>5069.9999999999991</v>
      </c>
    </row>
    <row r="29" spans="1:7" ht="18.75" customHeight="1">
      <c r="A29" s="172"/>
      <c r="B29" s="60" t="s">
        <v>9</v>
      </c>
      <c r="C29" s="61"/>
      <c r="D29" s="118"/>
      <c r="E29" s="141"/>
      <c r="F29" s="285">
        <f>SUM(F28)</f>
        <v>5069.9999999999991</v>
      </c>
    </row>
    <row r="30" spans="1:7" ht="18.75" customHeight="1">
      <c r="A30" s="197">
        <v>2.0299999999999998</v>
      </c>
      <c r="B30" s="16" t="s">
        <v>96</v>
      </c>
      <c r="C30" s="35" t="s">
        <v>1</v>
      </c>
      <c r="D30" s="123">
        <f>(0.75*0.75)*4</f>
        <v>2.25</v>
      </c>
      <c r="E30" s="136">
        <f>(F33+F37)/D30</f>
        <v>958.33333333333337</v>
      </c>
      <c r="F30" s="151">
        <f>E30*D30</f>
        <v>2156.25</v>
      </c>
    </row>
    <row r="31" spans="1:7" ht="18.75" customHeight="1">
      <c r="A31" s="198"/>
      <c r="B31" s="8" t="s">
        <v>2</v>
      </c>
      <c r="C31" s="9"/>
      <c r="D31" s="116"/>
      <c r="E31" s="131"/>
      <c r="F31" s="153"/>
    </row>
    <row r="32" spans="1:7" ht="18.75" customHeight="1">
      <c r="A32" s="198"/>
      <c r="B32" s="48" t="s">
        <v>3</v>
      </c>
      <c r="C32" s="9" t="s">
        <v>4</v>
      </c>
      <c r="D32" s="116">
        <f>D30/10</f>
        <v>0.22500000000000001</v>
      </c>
      <c r="E32" s="131">
        <v>8500</v>
      </c>
      <c r="F32" s="153">
        <f>E32*D32</f>
        <v>1912.5</v>
      </c>
    </row>
    <row r="33" spans="1:6" ht="18.75" customHeight="1">
      <c r="A33" s="168"/>
      <c r="B33" s="60" t="s">
        <v>5</v>
      </c>
      <c r="C33" s="12"/>
      <c r="D33" s="119"/>
      <c r="E33" s="133"/>
      <c r="F33" s="160">
        <f>SUM(F32)</f>
        <v>1912.5</v>
      </c>
    </row>
    <row r="34" spans="1:6" ht="18.75" customHeight="1">
      <c r="A34" s="168"/>
      <c r="B34" s="60"/>
      <c r="C34" s="12"/>
      <c r="D34" s="119"/>
      <c r="E34" s="133"/>
      <c r="F34" s="160"/>
    </row>
    <row r="35" spans="1:6" ht="18.75" customHeight="1">
      <c r="A35" s="198"/>
      <c r="B35" s="8" t="s">
        <v>6</v>
      </c>
      <c r="C35" s="9"/>
      <c r="D35" s="116"/>
      <c r="E35" s="131"/>
      <c r="F35" s="153"/>
    </row>
    <row r="36" spans="1:6" ht="18.75" customHeight="1">
      <c r="A36" s="198"/>
      <c r="B36" s="13" t="s">
        <v>7</v>
      </c>
      <c r="C36" s="9" t="s">
        <v>8</v>
      </c>
      <c r="D36" s="116">
        <f>D30/60</f>
        <v>3.7499999999999999E-2</v>
      </c>
      <c r="E36" s="131">
        <v>6500</v>
      </c>
      <c r="F36" s="153">
        <f>E36*D36</f>
        <v>243.75</v>
      </c>
    </row>
    <row r="37" spans="1:6" ht="18.75" customHeight="1">
      <c r="A37" s="172"/>
      <c r="B37" s="60" t="s">
        <v>9</v>
      </c>
      <c r="C37" s="61"/>
      <c r="D37" s="118"/>
      <c r="E37" s="275"/>
      <c r="F37" s="285">
        <f>SUM(F36)</f>
        <v>243.75</v>
      </c>
    </row>
    <row r="38" spans="1:6" ht="18.75" customHeight="1">
      <c r="A38" s="172"/>
      <c r="B38" s="60"/>
      <c r="C38" s="61"/>
      <c r="D38" s="113"/>
      <c r="E38" s="141"/>
      <c r="F38" s="285"/>
    </row>
    <row r="39" spans="1:6" ht="18.75" customHeight="1">
      <c r="A39" s="161">
        <v>3</v>
      </c>
      <c r="B39" s="478" t="s">
        <v>77</v>
      </c>
      <c r="C39" s="478"/>
      <c r="D39" s="478"/>
      <c r="E39" s="478"/>
      <c r="F39" s="479"/>
    </row>
    <row r="40" spans="1:6" ht="18.75" customHeight="1">
      <c r="A40" s="197">
        <v>3.01</v>
      </c>
      <c r="B40" s="16" t="s">
        <v>71</v>
      </c>
      <c r="C40" s="3" t="s">
        <v>1</v>
      </c>
      <c r="D40" s="115">
        <f>27.6*0.4</f>
        <v>11.040000000000001</v>
      </c>
      <c r="E40" s="132">
        <f>(F47+F51+F57)/D40</f>
        <v>4619.1302564102562</v>
      </c>
      <c r="F40" s="158">
        <f>E40*D40</f>
        <v>50995.198030769236</v>
      </c>
    </row>
    <row r="41" spans="1:6" ht="18.75" customHeight="1">
      <c r="A41" s="201"/>
      <c r="B41" s="19"/>
      <c r="C41" s="20" t="s">
        <v>10</v>
      </c>
      <c r="D41" s="135">
        <f>D40*0.05</f>
        <v>0.55200000000000005</v>
      </c>
      <c r="E41" s="134"/>
      <c r="F41" s="163"/>
    </row>
    <row r="42" spans="1:6" ht="18.75" customHeight="1">
      <c r="A42" s="202"/>
      <c r="B42" s="96" t="s">
        <v>2</v>
      </c>
      <c r="C42" s="23"/>
      <c r="D42" s="116"/>
      <c r="E42" s="116"/>
      <c r="F42" s="287"/>
    </row>
    <row r="43" spans="1:6" ht="18.75" customHeight="1">
      <c r="A43" s="202"/>
      <c r="B43" s="97" t="s">
        <v>11</v>
      </c>
      <c r="C43" s="23" t="s">
        <v>12</v>
      </c>
      <c r="D43" s="116">
        <f>D41*(1/13)*1.57*(1440/50)</f>
        <v>1.9199409230769233</v>
      </c>
      <c r="E43" s="131">
        <v>11200</v>
      </c>
      <c r="F43" s="287">
        <f>E43*D43</f>
        <v>21503.338338461541</v>
      </c>
    </row>
    <row r="44" spans="1:6" ht="18.75" customHeight="1">
      <c r="A44" s="202"/>
      <c r="B44" s="97" t="s">
        <v>13</v>
      </c>
      <c r="C44" s="23" t="s">
        <v>10</v>
      </c>
      <c r="D44" s="116">
        <f>D41*(4/13)*1.57</f>
        <v>0.26665846153846157</v>
      </c>
      <c r="E44" s="131">
        <v>30500</v>
      </c>
      <c r="F44" s="287">
        <f t="shared" ref="F44:F46" si="0">E44*D44</f>
        <v>8133.0830769230779</v>
      </c>
    </row>
    <row r="45" spans="1:6" ht="18.75" customHeight="1">
      <c r="A45" s="202"/>
      <c r="B45" s="97" t="s">
        <v>14</v>
      </c>
      <c r="C45" s="23" t="s">
        <v>10</v>
      </c>
      <c r="D45" s="116">
        <f>D41*(8/13)*1.57</f>
        <v>0.53331692307692313</v>
      </c>
      <c r="E45" s="131">
        <v>32300</v>
      </c>
      <c r="F45" s="287">
        <f t="shared" si="0"/>
        <v>17226.136615384617</v>
      </c>
    </row>
    <row r="46" spans="1:6" ht="18.75" customHeight="1">
      <c r="A46" s="202"/>
      <c r="B46" s="97" t="s">
        <v>15</v>
      </c>
      <c r="C46" s="23" t="s">
        <v>16</v>
      </c>
      <c r="D46" s="116">
        <f>D50*10</f>
        <v>0.92000000000000015</v>
      </c>
      <c r="E46" s="131">
        <v>2200</v>
      </c>
      <c r="F46" s="287">
        <f t="shared" si="0"/>
        <v>2024.0000000000002</v>
      </c>
    </row>
    <row r="47" spans="1:6" ht="18.75" customHeight="1">
      <c r="A47" s="166"/>
      <c r="B47" s="96" t="s">
        <v>18</v>
      </c>
      <c r="C47" s="28"/>
      <c r="D47" s="119"/>
      <c r="E47" s="133"/>
      <c r="F47" s="288">
        <f>SUM(F43:F46)</f>
        <v>48886.558030769236</v>
      </c>
    </row>
    <row r="48" spans="1:6" ht="18.75" customHeight="1">
      <c r="A48" s="202"/>
      <c r="B48" s="97"/>
      <c r="C48" s="23"/>
      <c r="D48" s="116"/>
      <c r="E48" s="131"/>
      <c r="F48" s="287"/>
    </row>
    <row r="49" spans="1:6" ht="18.75" customHeight="1">
      <c r="A49" s="202"/>
      <c r="B49" s="96" t="s">
        <v>19</v>
      </c>
      <c r="C49" s="23"/>
      <c r="D49" s="116"/>
      <c r="E49" s="131"/>
      <c r="F49" s="287"/>
    </row>
    <row r="50" spans="1:6" ht="18.75" customHeight="1">
      <c r="A50" s="202"/>
      <c r="B50" s="97" t="s">
        <v>20</v>
      </c>
      <c r="C50" s="23" t="s">
        <v>21</v>
      </c>
      <c r="D50" s="116">
        <f>D41/6</f>
        <v>9.2000000000000012E-2</v>
      </c>
      <c r="E50" s="131">
        <v>5050</v>
      </c>
      <c r="F50" s="287">
        <f>E50*D50</f>
        <v>464.60000000000008</v>
      </c>
    </row>
    <row r="51" spans="1:6" ht="18.75" customHeight="1">
      <c r="A51" s="166"/>
      <c r="B51" s="96" t="s">
        <v>23</v>
      </c>
      <c r="C51" s="28"/>
      <c r="D51" s="119"/>
      <c r="E51" s="133"/>
      <c r="F51" s="288">
        <f>SUM(F50)</f>
        <v>464.60000000000008</v>
      </c>
    </row>
    <row r="52" spans="1:6" ht="18.75" customHeight="1">
      <c r="A52" s="202"/>
      <c r="B52" s="97"/>
      <c r="C52" s="23"/>
      <c r="D52" s="116"/>
      <c r="E52" s="131"/>
      <c r="F52" s="287"/>
    </row>
    <row r="53" spans="1:6" ht="18.75" customHeight="1">
      <c r="A53" s="202"/>
      <c r="B53" s="96" t="s">
        <v>6</v>
      </c>
      <c r="C53" s="23"/>
      <c r="D53" s="116"/>
      <c r="E53" s="131"/>
      <c r="F53" s="287"/>
    </row>
    <row r="54" spans="1:6" ht="18.75" customHeight="1">
      <c r="A54" s="202"/>
      <c r="B54" s="97" t="s">
        <v>24</v>
      </c>
      <c r="C54" s="23" t="s">
        <v>21</v>
      </c>
      <c r="D54" s="116">
        <f>(D41/6)*2</f>
        <v>0.18400000000000002</v>
      </c>
      <c r="E54" s="131">
        <v>1500</v>
      </c>
      <c r="F54" s="287">
        <f>E54*D54</f>
        <v>276.00000000000006</v>
      </c>
    </row>
    <row r="55" spans="1:6" ht="18.75" customHeight="1">
      <c r="A55" s="202"/>
      <c r="B55" s="97" t="s">
        <v>25</v>
      </c>
      <c r="C55" s="23" t="s">
        <v>21</v>
      </c>
      <c r="D55" s="116">
        <f>(D41/6)*18</f>
        <v>1.6560000000000001</v>
      </c>
      <c r="E55" s="131">
        <v>780</v>
      </c>
      <c r="F55" s="287">
        <f t="shared" ref="F55:F56" si="1">E55*D55</f>
        <v>1291.68</v>
      </c>
    </row>
    <row r="56" spans="1:6" ht="18.75" customHeight="1">
      <c r="A56" s="202"/>
      <c r="B56" s="97" t="s">
        <v>26</v>
      </c>
      <c r="C56" s="23" t="s">
        <v>21</v>
      </c>
      <c r="D56" s="116">
        <f>D50</f>
        <v>9.2000000000000012E-2</v>
      </c>
      <c r="E56" s="131">
        <v>830</v>
      </c>
      <c r="F56" s="287">
        <f t="shared" si="1"/>
        <v>76.360000000000014</v>
      </c>
    </row>
    <row r="57" spans="1:6" ht="18.75" customHeight="1">
      <c r="A57" s="166"/>
      <c r="B57" s="96" t="s">
        <v>27</v>
      </c>
      <c r="C57" s="28"/>
      <c r="D57" s="119"/>
      <c r="E57" s="119"/>
      <c r="F57" s="288">
        <f>SUM(F54:F56)</f>
        <v>1644.04</v>
      </c>
    </row>
    <row r="58" spans="1:6" ht="18.75" customHeight="1">
      <c r="A58" s="197">
        <v>3.02</v>
      </c>
      <c r="B58" s="16" t="s">
        <v>98</v>
      </c>
      <c r="C58" s="3" t="s">
        <v>1</v>
      </c>
      <c r="D58" s="115">
        <f>(0.75*0.75)*4</f>
        <v>2.25</v>
      </c>
      <c r="E58" s="132">
        <f>(F65+F69+F75)/D58</f>
        <v>4619.1302564102562</v>
      </c>
      <c r="F58" s="158">
        <f>E58*D58</f>
        <v>10393.043076923077</v>
      </c>
    </row>
    <row r="59" spans="1:6" ht="18.75" customHeight="1">
      <c r="A59" s="201"/>
      <c r="B59" s="19"/>
      <c r="C59" s="20" t="s">
        <v>10</v>
      </c>
      <c r="D59" s="135">
        <f>D58*0.05</f>
        <v>0.1125</v>
      </c>
      <c r="E59" s="134"/>
      <c r="F59" s="163">
        <f>E59*D59</f>
        <v>0</v>
      </c>
    </row>
    <row r="60" spans="1:6" ht="18.75" customHeight="1">
      <c r="A60" s="202"/>
      <c r="B60" s="96" t="s">
        <v>2</v>
      </c>
      <c r="C60" s="23"/>
      <c r="D60" s="116"/>
      <c r="E60" s="116"/>
      <c r="F60" s="287"/>
    </row>
    <row r="61" spans="1:6" ht="18.75" customHeight="1">
      <c r="A61" s="202"/>
      <c r="B61" s="97" t="s">
        <v>11</v>
      </c>
      <c r="C61" s="23" t="s">
        <v>12</v>
      </c>
      <c r="D61" s="116">
        <f>D59*(1/13)*1.57*(1440/50)</f>
        <v>0.39129230769230772</v>
      </c>
      <c r="E61" s="131">
        <v>11200</v>
      </c>
      <c r="F61" s="287">
        <f>E61*D61</f>
        <v>4382.4738461538464</v>
      </c>
    </row>
    <row r="62" spans="1:6" ht="18.75" customHeight="1">
      <c r="A62" s="202"/>
      <c r="B62" s="97" t="s">
        <v>13</v>
      </c>
      <c r="C62" s="23" t="s">
        <v>10</v>
      </c>
      <c r="D62" s="116">
        <f>D59*(4/13)*1.57</f>
        <v>5.434615384615385E-2</v>
      </c>
      <c r="E62" s="131">
        <v>30500</v>
      </c>
      <c r="F62" s="287">
        <f t="shared" ref="F62:F64" si="2">E62*D62</f>
        <v>1657.5576923076924</v>
      </c>
    </row>
    <row r="63" spans="1:6" ht="18.75" customHeight="1">
      <c r="A63" s="202"/>
      <c r="B63" s="97" t="s">
        <v>14</v>
      </c>
      <c r="C63" s="23" t="s">
        <v>10</v>
      </c>
      <c r="D63" s="116">
        <f>D59*(8/13)*1.57</f>
        <v>0.1086923076923077</v>
      </c>
      <c r="E63" s="131">
        <v>32300</v>
      </c>
      <c r="F63" s="287">
        <f t="shared" si="2"/>
        <v>3510.7615384615387</v>
      </c>
    </row>
    <row r="64" spans="1:6" ht="18.75" customHeight="1">
      <c r="A64" s="202"/>
      <c r="B64" s="97" t="s">
        <v>15</v>
      </c>
      <c r="C64" s="23" t="s">
        <v>16</v>
      </c>
      <c r="D64" s="116">
        <f>D68*10</f>
        <v>0.1875</v>
      </c>
      <c r="E64" s="131">
        <v>2200</v>
      </c>
      <c r="F64" s="287">
        <f t="shared" si="2"/>
        <v>412.5</v>
      </c>
    </row>
    <row r="65" spans="1:6" ht="18.75" customHeight="1">
      <c r="A65" s="166"/>
      <c r="B65" s="96" t="s">
        <v>18</v>
      </c>
      <c r="C65" s="28"/>
      <c r="D65" s="119"/>
      <c r="E65" s="133"/>
      <c r="F65" s="288">
        <f>SUM(F61:F64)</f>
        <v>9963.293076923077</v>
      </c>
    </row>
    <row r="66" spans="1:6" ht="18.75" customHeight="1">
      <c r="A66" s="202"/>
      <c r="B66" s="97"/>
      <c r="C66" s="23"/>
      <c r="D66" s="116"/>
      <c r="E66" s="131"/>
      <c r="F66" s="287"/>
    </row>
    <row r="67" spans="1:6" ht="18.75" customHeight="1">
      <c r="A67" s="202"/>
      <c r="B67" s="96" t="s">
        <v>19</v>
      </c>
      <c r="C67" s="23"/>
      <c r="D67" s="116"/>
      <c r="E67" s="131"/>
      <c r="F67" s="287"/>
    </row>
    <row r="68" spans="1:6" ht="18.75" customHeight="1">
      <c r="A68" s="202"/>
      <c r="B68" s="97" t="s">
        <v>20</v>
      </c>
      <c r="C68" s="23" t="s">
        <v>21</v>
      </c>
      <c r="D68" s="116">
        <f>D59/6</f>
        <v>1.8749999999999999E-2</v>
      </c>
      <c r="E68" s="131">
        <v>5050</v>
      </c>
      <c r="F68" s="287">
        <f>E68*D68</f>
        <v>94.6875</v>
      </c>
    </row>
    <row r="69" spans="1:6" ht="18.75" customHeight="1">
      <c r="A69" s="166"/>
      <c r="B69" s="96" t="s">
        <v>23</v>
      </c>
      <c r="C69" s="28"/>
      <c r="D69" s="119"/>
      <c r="E69" s="133"/>
      <c r="F69" s="288">
        <f>SUM(F68)</f>
        <v>94.6875</v>
      </c>
    </row>
    <row r="70" spans="1:6" ht="18.75" customHeight="1">
      <c r="A70" s="202"/>
      <c r="B70" s="97"/>
      <c r="C70" s="23"/>
      <c r="D70" s="116"/>
      <c r="E70" s="131"/>
      <c r="F70" s="287"/>
    </row>
    <row r="71" spans="1:6" ht="18.75" customHeight="1">
      <c r="A71" s="202"/>
      <c r="B71" s="96" t="s">
        <v>6</v>
      </c>
      <c r="C71" s="23"/>
      <c r="D71" s="116"/>
      <c r="E71" s="131"/>
      <c r="F71" s="287"/>
    </row>
    <row r="72" spans="1:6" ht="18.75" customHeight="1">
      <c r="A72" s="202"/>
      <c r="B72" s="97" t="s">
        <v>24</v>
      </c>
      <c r="C72" s="23" t="s">
        <v>21</v>
      </c>
      <c r="D72" s="116">
        <f>(D59/6)*2</f>
        <v>3.7499999999999999E-2</v>
      </c>
      <c r="E72" s="131">
        <v>1500</v>
      </c>
      <c r="F72" s="287">
        <f>E72*D72</f>
        <v>56.25</v>
      </c>
    </row>
    <row r="73" spans="1:6" ht="18.75" customHeight="1">
      <c r="A73" s="202"/>
      <c r="B73" s="97" t="s">
        <v>25</v>
      </c>
      <c r="C73" s="23" t="s">
        <v>21</v>
      </c>
      <c r="D73" s="116">
        <f>(D59/6)*18</f>
        <v>0.33749999999999997</v>
      </c>
      <c r="E73" s="131">
        <v>780</v>
      </c>
      <c r="F73" s="287">
        <f t="shared" ref="F73:F74" si="3">E73*D73</f>
        <v>263.25</v>
      </c>
    </row>
    <row r="74" spans="1:6" ht="18.75" customHeight="1">
      <c r="A74" s="202"/>
      <c r="B74" s="97" t="s">
        <v>26</v>
      </c>
      <c r="C74" s="23" t="s">
        <v>21</v>
      </c>
      <c r="D74" s="116">
        <f>D68</f>
        <v>1.8749999999999999E-2</v>
      </c>
      <c r="E74" s="131">
        <v>830</v>
      </c>
      <c r="F74" s="287">
        <f t="shared" si="3"/>
        <v>15.5625</v>
      </c>
    </row>
    <row r="75" spans="1:6" ht="18.75" customHeight="1">
      <c r="A75" s="166"/>
      <c r="B75" s="96" t="s">
        <v>27</v>
      </c>
      <c r="C75" s="28"/>
      <c r="D75" s="119"/>
      <c r="E75" s="119"/>
      <c r="F75" s="288">
        <f>SUM(F72:F74)</f>
        <v>335.0625</v>
      </c>
    </row>
    <row r="76" spans="1:6" ht="18.75" customHeight="1">
      <c r="A76" s="166"/>
      <c r="B76" s="96"/>
      <c r="C76" s="28"/>
      <c r="D76" s="119"/>
      <c r="E76" s="119"/>
      <c r="F76" s="288"/>
    </row>
    <row r="77" spans="1:6" ht="18.75" customHeight="1">
      <c r="A77" s="166">
        <v>4</v>
      </c>
      <c r="B77" s="480" t="s">
        <v>82</v>
      </c>
      <c r="C77" s="480"/>
      <c r="D77" s="480"/>
      <c r="E77" s="480"/>
      <c r="F77" s="481"/>
    </row>
    <row r="78" spans="1:6" ht="18.75" customHeight="1">
      <c r="A78" s="197">
        <v>4.01</v>
      </c>
      <c r="B78" s="98" t="s">
        <v>83</v>
      </c>
      <c r="C78" s="69" t="s">
        <v>50</v>
      </c>
      <c r="D78" s="123">
        <f>((0.75*0.2)*4)*4</f>
        <v>2.4000000000000004</v>
      </c>
      <c r="E78" s="123">
        <f>(F83+F88)/D78</f>
        <v>10724.305555555555</v>
      </c>
      <c r="F78" s="289">
        <f>E78*D78</f>
        <v>25738.333333333336</v>
      </c>
    </row>
    <row r="79" spans="1:6" ht="18.75" customHeight="1">
      <c r="A79" s="202"/>
      <c r="B79" s="96" t="s">
        <v>2</v>
      </c>
      <c r="C79" s="23"/>
      <c r="D79" s="112"/>
      <c r="E79" s="116"/>
      <c r="F79" s="287"/>
    </row>
    <row r="80" spans="1:6" ht="18.75" customHeight="1">
      <c r="A80" s="202"/>
      <c r="B80" s="97" t="s">
        <v>84</v>
      </c>
      <c r="C80" s="23" t="s">
        <v>85</v>
      </c>
      <c r="D80" s="116">
        <f>D78/(2.4*1.2)/2</f>
        <v>0.41666666666666674</v>
      </c>
      <c r="E80" s="131">
        <v>3500</v>
      </c>
      <c r="F80" s="287">
        <f>E80*D80</f>
        <v>1458.3333333333335</v>
      </c>
    </row>
    <row r="81" spans="1:6" ht="18.75" customHeight="1">
      <c r="A81" s="202"/>
      <c r="B81" s="97" t="s">
        <v>86</v>
      </c>
      <c r="C81" s="23" t="s">
        <v>44</v>
      </c>
      <c r="D81" s="116">
        <f>D78*1.5</f>
        <v>3.6000000000000005</v>
      </c>
      <c r="E81" s="131">
        <v>5000</v>
      </c>
      <c r="F81" s="287">
        <f t="shared" ref="F81:F82" si="4">E81*D81</f>
        <v>18000.000000000004</v>
      </c>
    </row>
    <row r="82" spans="1:6" ht="18.75" customHeight="1">
      <c r="A82" s="198"/>
      <c r="B82" s="97" t="s">
        <v>87</v>
      </c>
      <c r="C82" s="23" t="s">
        <v>88</v>
      </c>
      <c r="D82" s="116">
        <f>D78*0.25</f>
        <v>0.60000000000000009</v>
      </c>
      <c r="E82" s="131">
        <v>2200</v>
      </c>
      <c r="F82" s="287">
        <f t="shared" si="4"/>
        <v>1320.0000000000002</v>
      </c>
    </row>
    <row r="83" spans="1:6" ht="18.75" customHeight="1">
      <c r="A83" s="198"/>
      <c r="B83" s="96" t="s">
        <v>89</v>
      </c>
      <c r="C83" s="28"/>
      <c r="D83" s="119"/>
      <c r="E83" s="133"/>
      <c r="F83" s="288">
        <f>SUM(F80:F82)</f>
        <v>20778.333333333336</v>
      </c>
    </row>
    <row r="84" spans="1:6" ht="18.75" customHeight="1">
      <c r="A84" s="198"/>
      <c r="B84" s="97"/>
      <c r="C84" s="23"/>
      <c r="D84" s="116"/>
      <c r="E84" s="131"/>
      <c r="F84" s="287"/>
    </row>
    <row r="85" spans="1:6" ht="18.75" customHeight="1">
      <c r="A85" s="199"/>
      <c r="B85" s="96" t="s">
        <v>6</v>
      </c>
      <c r="C85" s="23"/>
      <c r="D85" s="116"/>
      <c r="E85" s="131"/>
      <c r="F85" s="287"/>
    </row>
    <row r="86" spans="1:6" ht="18.75" customHeight="1">
      <c r="A86" s="199"/>
      <c r="B86" s="97" t="s">
        <v>90</v>
      </c>
      <c r="C86" s="23" t="s">
        <v>21</v>
      </c>
      <c r="D86" s="116">
        <f>D78/15</f>
        <v>0.16000000000000003</v>
      </c>
      <c r="E86" s="131">
        <v>15000</v>
      </c>
      <c r="F86" s="287">
        <f>E86*D86</f>
        <v>2400.0000000000005</v>
      </c>
    </row>
    <row r="87" spans="1:6" ht="18.75" customHeight="1">
      <c r="A87" s="199"/>
      <c r="B87" s="97" t="s">
        <v>25</v>
      </c>
      <c r="C87" s="23" t="s">
        <v>21</v>
      </c>
      <c r="D87" s="116">
        <f>D86*2</f>
        <v>0.32000000000000006</v>
      </c>
      <c r="E87" s="131">
        <v>8000</v>
      </c>
      <c r="F87" s="287">
        <f>E87*D87</f>
        <v>2560.0000000000005</v>
      </c>
    </row>
    <row r="88" spans="1:6" ht="18.75" customHeight="1">
      <c r="A88" s="202"/>
      <c r="B88" s="96" t="s">
        <v>91</v>
      </c>
      <c r="C88" s="28"/>
      <c r="D88" s="120"/>
      <c r="E88" s="119"/>
      <c r="F88" s="288">
        <f>SUM(F86:F87)</f>
        <v>4960.0000000000009</v>
      </c>
    </row>
    <row r="89" spans="1:6" ht="18.75" customHeight="1">
      <c r="A89" s="197">
        <v>4.0199999999999996</v>
      </c>
      <c r="B89" s="98" t="s">
        <v>118</v>
      </c>
      <c r="C89" s="69" t="s">
        <v>50</v>
      </c>
      <c r="D89" s="123">
        <f>((1.05*0.3)*4)*4</f>
        <v>5.04</v>
      </c>
      <c r="E89" s="123">
        <f>(F94+F99)/D89</f>
        <v>7817.3611111111113</v>
      </c>
      <c r="F89" s="289">
        <f>E89*D89</f>
        <v>39399.5</v>
      </c>
    </row>
    <row r="90" spans="1:6" ht="18.75" customHeight="1">
      <c r="A90" s="202"/>
      <c r="B90" s="96" t="s">
        <v>2</v>
      </c>
      <c r="C90" s="23"/>
      <c r="D90" s="112"/>
      <c r="E90" s="116"/>
      <c r="F90" s="287"/>
    </row>
    <row r="91" spans="1:6" ht="18.75" customHeight="1">
      <c r="A91" s="202"/>
      <c r="B91" s="97" t="s">
        <v>84</v>
      </c>
      <c r="C91" s="23" t="s">
        <v>85</v>
      </c>
      <c r="D91" s="116">
        <f>D89/(2.4*1.2)/2</f>
        <v>0.875</v>
      </c>
      <c r="E91" s="131">
        <v>2500</v>
      </c>
      <c r="F91" s="287">
        <f>E91*D91</f>
        <v>2187.5</v>
      </c>
    </row>
    <row r="92" spans="1:6" ht="18.75" customHeight="1">
      <c r="A92" s="202"/>
      <c r="B92" s="97" t="s">
        <v>86</v>
      </c>
      <c r="C92" s="23" t="s">
        <v>44</v>
      </c>
      <c r="D92" s="116">
        <f>D89*1.5</f>
        <v>7.5600000000000005</v>
      </c>
      <c r="E92" s="131">
        <v>3000</v>
      </c>
      <c r="F92" s="287">
        <f t="shared" ref="F92:F93" si="5">E92*D92</f>
        <v>22680</v>
      </c>
    </row>
    <row r="93" spans="1:6" ht="18.75" customHeight="1">
      <c r="A93" s="198"/>
      <c r="B93" s="97" t="s">
        <v>87</v>
      </c>
      <c r="C93" s="23" t="s">
        <v>88</v>
      </c>
      <c r="D93" s="116">
        <f>D89*0.25</f>
        <v>1.26</v>
      </c>
      <c r="E93" s="131">
        <v>2200</v>
      </c>
      <c r="F93" s="287">
        <f t="shared" si="5"/>
        <v>2772</v>
      </c>
    </row>
    <row r="94" spans="1:6" ht="18.75" customHeight="1">
      <c r="A94" s="198"/>
      <c r="B94" s="96" t="s">
        <v>89</v>
      </c>
      <c r="C94" s="28"/>
      <c r="D94" s="119"/>
      <c r="E94" s="133"/>
      <c r="F94" s="288">
        <f>SUM(F91:F93)</f>
        <v>27639.5</v>
      </c>
    </row>
    <row r="95" spans="1:6" ht="18.75" customHeight="1">
      <c r="A95" s="198"/>
      <c r="B95" s="97"/>
      <c r="C95" s="23"/>
      <c r="D95" s="116"/>
      <c r="E95" s="131"/>
      <c r="F95" s="287"/>
    </row>
    <row r="96" spans="1:6" ht="18.75" customHeight="1">
      <c r="A96" s="199"/>
      <c r="B96" s="96" t="s">
        <v>6</v>
      </c>
      <c r="C96" s="23"/>
      <c r="D96" s="116"/>
      <c r="E96" s="131"/>
      <c r="F96" s="287"/>
    </row>
    <row r="97" spans="1:6" ht="18.75" customHeight="1">
      <c r="A97" s="199"/>
      <c r="B97" s="97" t="s">
        <v>90</v>
      </c>
      <c r="C97" s="23" t="s">
        <v>21</v>
      </c>
      <c r="D97" s="116">
        <f>D89/15</f>
        <v>0.33600000000000002</v>
      </c>
      <c r="E97" s="131">
        <v>15000</v>
      </c>
      <c r="F97" s="287">
        <f>E97*D97</f>
        <v>5040</v>
      </c>
    </row>
    <row r="98" spans="1:6" ht="18.75" customHeight="1">
      <c r="A98" s="199"/>
      <c r="B98" s="97" t="s">
        <v>25</v>
      </c>
      <c r="C98" s="23" t="s">
        <v>21</v>
      </c>
      <c r="D98" s="116">
        <f>D97*2</f>
        <v>0.67200000000000004</v>
      </c>
      <c r="E98" s="131">
        <v>10000</v>
      </c>
      <c r="F98" s="287">
        <f>E98*D98</f>
        <v>6720</v>
      </c>
    </row>
    <row r="99" spans="1:6" ht="18.75" customHeight="1">
      <c r="A99" s="202"/>
      <c r="B99" s="96" t="s">
        <v>91</v>
      </c>
      <c r="C99" s="28"/>
      <c r="D99" s="120"/>
      <c r="E99" s="119"/>
      <c r="F99" s="288">
        <f>SUM(F97:F98)</f>
        <v>11760</v>
      </c>
    </row>
    <row r="100" spans="1:6" ht="18.75" customHeight="1">
      <c r="A100" s="197">
        <v>4.03</v>
      </c>
      <c r="B100" s="98" t="s">
        <v>95</v>
      </c>
      <c r="C100" s="69" t="s">
        <v>36</v>
      </c>
      <c r="D100" s="123">
        <f>((3.1*0.3)*4)*4</f>
        <v>14.879999999999999</v>
      </c>
      <c r="E100" s="123">
        <f>(F110+F105)/D100</f>
        <v>11164.583333333334</v>
      </c>
      <c r="F100" s="289">
        <f>E100*D100</f>
        <v>166129</v>
      </c>
    </row>
    <row r="101" spans="1:6" ht="18.75" customHeight="1">
      <c r="A101" s="202"/>
      <c r="B101" s="96" t="s">
        <v>2</v>
      </c>
      <c r="C101" s="23"/>
      <c r="D101" s="112"/>
      <c r="E101" s="116"/>
      <c r="F101" s="287"/>
    </row>
    <row r="102" spans="1:6" ht="18.75" customHeight="1">
      <c r="A102" s="202"/>
      <c r="B102" s="97" t="s">
        <v>84</v>
      </c>
      <c r="C102" s="23" t="s">
        <v>85</v>
      </c>
      <c r="D102" s="116">
        <f>D100/(2.4*1.2)/2</f>
        <v>2.583333333333333</v>
      </c>
      <c r="E102" s="116">
        <v>4500</v>
      </c>
      <c r="F102" s="287">
        <f>E102*D102</f>
        <v>11624.999999999998</v>
      </c>
    </row>
    <row r="103" spans="1:6" ht="18.75" customHeight="1">
      <c r="A103" s="202"/>
      <c r="B103" s="97" t="s">
        <v>86</v>
      </c>
      <c r="C103" s="23" t="s">
        <v>44</v>
      </c>
      <c r="D103" s="116">
        <f>D100*1.5</f>
        <v>22.32</v>
      </c>
      <c r="E103" s="116">
        <v>5000</v>
      </c>
      <c r="F103" s="287">
        <f t="shared" ref="F103:F104" si="6">E103*D103</f>
        <v>111600</v>
      </c>
    </row>
    <row r="104" spans="1:6" ht="18.75" customHeight="1">
      <c r="A104" s="198"/>
      <c r="B104" s="97" t="s">
        <v>87</v>
      </c>
      <c r="C104" s="23" t="s">
        <v>88</v>
      </c>
      <c r="D104" s="116">
        <f>D100*0.25</f>
        <v>3.7199999999999998</v>
      </c>
      <c r="E104" s="116">
        <v>2200</v>
      </c>
      <c r="F104" s="287">
        <f t="shared" si="6"/>
        <v>8183.9999999999991</v>
      </c>
    </row>
    <row r="105" spans="1:6" ht="18.75" customHeight="1">
      <c r="A105" s="198"/>
      <c r="B105" s="96" t="s">
        <v>89</v>
      </c>
      <c r="C105" s="28"/>
      <c r="D105" s="119"/>
      <c r="E105" s="119"/>
      <c r="F105" s="288">
        <f>SUM(F102:F104)</f>
        <v>131409</v>
      </c>
    </row>
    <row r="106" spans="1:6" ht="18.75" customHeight="1">
      <c r="A106" s="198"/>
      <c r="B106" s="97"/>
      <c r="C106" s="23"/>
      <c r="D106" s="116"/>
      <c r="E106" s="116"/>
      <c r="F106" s="287"/>
    </row>
    <row r="107" spans="1:6" ht="18.75" customHeight="1">
      <c r="A107" s="199"/>
      <c r="B107" s="96" t="s">
        <v>6</v>
      </c>
      <c r="C107" s="23"/>
      <c r="D107" s="116"/>
      <c r="E107" s="116"/>
      <c r="F107" s="287"/>
    </row>
    <row r="108" spans="1:6" ht="18.75" customHeight="1">
      <c r="A108" s="199"/>
      <c r="B108" s="97" t="s">
        <v>90</v>
      </c>
      <c r="C108" s="23" t="s">
        <v>21</v>
      </c>
      <c r="D108" s="116">
        <f>D100/15</f>
        <v>0.99199999999999988</v>
      </c>
      <c r="E108" s="116">
        <v>15000</v>
      </c>
      <c r="F108" s="287">
        <f>E108*D108</f>
        <v>14879.999999999998</v>
      </c>
    </row>
    <row r="109" spans="1:6" ht="18.75" customHeight="1">
      <c r="A109" s="199"/>
      <c r="B109" s="97" t="s">
        <v>25</v>
      </c>
      <c r="C109" s="23" t="s">
        <v>21</v>
      </c>
      <c r="D109" s="116">
        <f>D108*2</f>
        <v>1.9839999999999998</v>
      </c>
      <c r="E109" s="131">
        <v>10000</v>
      </c>
      <c r="F109" s="287">
        <f>E109*D109</f>
        <v>19839.999999999996</v>
      </c>
    </row>
    <row r="110" spans="1:6" ht="18.75" customHeight="1">
      <c r="A110" s="202"/>
      <c r="B110" s="11" t="s">
        <v>9</v>
      </c>
      <c r="C110" s="28"/>
      <c r="D110" s="120"/>
      <c r="E110" s="119"/>
      <c r="F110" s="288">
        <f>SUM(F108:F109)</f>
        <v>34719.999999999993</v>
      </c>
    </row>
    <row r="111" spans="1:6" ht="18.75" customHeight="1">
      <c r="A111" s="202"/>
      <c r="B111" s="11"/>
      <c r="C111" s="28"/>
      <c r="D111" s="120"/>
      <c r="E111" s="119"/>
      <c r="F111" s="288"/>
    </row>
    <row r="112" spans="1:6" ht="18.75" customHeight="1">
      <c r="A112" s="203">
        <v>5</v>
      </c>
      <c r="B112" s="99" t="s">
        <v>105</v>
      </c>
      <c r="C112" s="69" t="s">
        <v>88</v>
      </c>
      <c r="D112" s="123">
        <v>94.819000000000003</v>
      </c>
      <c r="E112" s="123">
        <f>(F116+F122)/D112</f>
        <v>6375.8333333333339</v>
      </c>
      <c r="F112" s="289">
        <f>E112*D112</f>
        <v>604550.14083333337</v>
      </c>
    </row>
    <row r="113" spans="1:6" ht="18.75" customHeight="1">
      <c r="A113" s="202"/>
      <c r="B113" s="96" t="s">
        <v>2</v>
      </c>
      <c r="C113" s="23"/>
      <c r="D113" s="112"/>
      <c r="E113" s="116"/>
      <c r="F113" s="287"/>
    </row>
    <row r="114" spans="1:6" ht="18.75" customHeight="1">
      <c r="A114" s="202"/>
      <c r="B114" s="97" t="s">
        <v>106</v>
      </c>
      <c r="C114" s="23" t="s">
        <v>88</v>
      </c>
      <c r="D114" s="116">
        <f>D112*1.1</f>
        <v>104.30090000000001</v>
      </c>
      <c r="E114" s="131">
        <v>5050</v>
      </c>
      <c r="F114" s="287">
        <f>E114*D114</f>
        <v>526719.54500000004</v>
      </c>
    </row>
    <row r="115" spans="1:6" ht="18.75" customHeight="1">
      <c r="A115" s="202"/>
      <c r="B115" s="97" t="s">
        <v>107</v>
      </c>
      <c r="C115" s="23" t="s">
        <v>88</v>
      </c>
      <c r="D115" s="116">
        <f>D112*2.5%</f>
        <v>2.3704750000000003</v>
      </c>
      <c r="E115" s="131">
        <v>3500</v>
      </c>
      <c r="F115" s="287">
        <f>E115*D115</f>
        <v>8296.6625000000004</v>
      </c>
    </row>
    <row r="116" spans="1:6" ht="18.75" customHeight="1">
      <c r="A116" s="202"/>
      <c r="B116" s="97"/>
      <c r="C116" s="23"/>
      <c r="D116" s="116"/>
      <c r="E116" s="131"/>
      <c r="F116" s="288">
        <f>SUM(F114:F115)</f>
        <v>535016.20750000002</v>
      </c>
    </row>
    <row r="117" spans="1:6" ht="18.75" customHeight="1">
      <c r="A117" s="166"/>
      <c r="B117" s="96" t="s">
        <v>108</v>
      </c>
      <c r="C117" s="28"/>
      <c r="D117" s="119"/>
      <c r="E117" s="133"/>
      <c r="F117" s="288"/>
    </row>
    <row r="118" spans="1:6" ht="18.75" customHeight="1">
      <c r="A118" s="202"/>
      <c r="B118" s="97"/>
      <c r="C118" s="23"/>
      <c r="D118" s="116"/>
      <c r="E118" s="131"/>
      <c r="F118" s="287"/>
    </row>
    <row r="119" spans="1:6" ht="18.75" customHeight="1">
      <c r="A119" s="202"/>
      <c r="B119" s="96" t="s">
        <v>6</v>
      </c>
      <c r="C119" s="23"/>
      <c r="D119" s="116"/>
      <c r="E119" s="131"/>
      <c r="F119" s="287"/>
    </row>
    <row r="120" spans="1:6" ht="18.75" customHeight="1">
      <c r="A120" s="202"/>
      <c r="B120" s="97" t="s">
        <v>109</v>
      </c>
      <c r="C120" s="23" t="s">
        <v>8</v>
      </c>
      <c r="D120" s="116">
        <f>D112/45</f>
        <v>2.1070888888888888</v>
      </c>
      <c r="E120" s="131">
        <v>17000</v>
      </c>
      <c r="F120" s="287">
        <f>E120*D120</f>
        <v>35820.511111111111</v>
      </c>
    </row>
    <row r="121" spans="1:6" ht="18.75" customHeight="1">
      <c r="A121" s="202"/>
      <c r="B121" s="97" t="s">
        <v>110</v>
      </c>
      <c r="C121" s="23" t="s">
        <v>8</v>
      </c>
      <c r="D121" s="116">
        <f>D120*2</f>
        <v>4.2141777777777776</v>
      </c>
      <c r="E121" s="131">
        <v>8000</v>
      </c>
      <c r="F121" s="287">
        <f>E121*D121</f>
        <v>33713.422222222223</v>
      </c>
    </row>
    <row r="122" spans="1:6" ht="18.75" customHeight="1">
      <c r="A122" s="166"/>
      <c r="B122" s="96" t="s">
        <v>111</v>
      </c>
      <c r="C122" s="28"/>
      <c r="D122" s="120"/>
      <c r="E122" s="119"/>
      <c r="F122" s="288">
        <f>SUM(F120:F121)</f>
        <v>69533.933333333334</v>
      </c>
    </row>
    <row r="123" spans="1:6" ht="18.75" customHeight="1">
      <c r="A123" s="166"/>
      <c r="B123" s="96"/>
      <c r="C123" s="28"/>
      <c r="D123" s="120"/>
      <c r="E123" s="119"/>
      <c r="F123" s="288"/>
    </row>
    <row r="124" spans="1:6" ht="18.75" customHeight="1">
      <c r="A124" s="168">
        <v>6</v>
      </c>
      <c r="B124" s="482" t="s">
        <v>101</v>
      </c>
      <c r="C124" s="482"/>
      <c r="D124" s="482"/>
      <c r="E124" s="482"/>
      <c r="F124" s="483"/>
    </row>
    <row r="125" spans="1:6" ht="18.75" customHeight="1">
      <c r="A125" s="197">
        <v>6.01</v>
      </c>
      <c r="B125" s="98" t="s">
        <v>102</v>
      </c>
      <c r="C125" s="69" t="s">
        <v>10</v>
      </c>
      <c r="D125" s="123">
        <f>(0.7*0.7*0.15)*4</f>
        <v>0.29399999999999993</v>
      </c>
      <c r="E125" s="123">
        <f>(F128+F132+F135)/D125</f>
        <v>218000.00000000003</v>
      </c>
      <c r="F125" s="289">
        <f>E125*D125</f>
        <v>64091.999999999993</v>
      </c>
    </row>
    <row r="126" spans="1:6" ht="18.75" customHeight="1">
      <c r="A126" s="204"/>
      <c r="B126" s="100" t="s">
        <v>2</v>
      </c>
      <c r="C126" s="56"/>
      <c r="D126" s="121"/>
      <c r="E126" s="135"/>
      <c r="F126" s="290"/>
    </row>
    <row r="127" spans="1:6" ht="18.75" customHeight="1">
      <c r="A127" s="204"/>
      <c r="B127" s="101" t="s">
        <v>99</v>
      </c>
      <c r="C127" s="56" t="s">
        <v>28</v>
      </c>
      <c r="D127" s="135">
        <f>D125*1.1</f>
        <v>0.32339999999999997</v>
      </c>
      <c r="E127" s="134">
        <v>180000</v>
      </c>
      <c r="F127" s="290">
        <f>E127*D127</f>
        <v>58211.999999999993</v>
      </c>
    </row>
    <row r="128" spans="1:6" ht="18.75" customHeight="1">
      <c r="A128" s="205"/>
      <c r="B128" s="100" t="s">
        <v>100</v>
      </c>
      <c r="C128" s="57"/>
      <c r="D128" s="122"/>
      <c r="E128" s="259"/>
      <c r="F128" s="291">
        <f>SUM(F127)</f>
        <v>58211.999999999993</v>
      </c>
    </row>
    <row r="129" spans="1:6" ht="18.75" customHeight="1">
      <c r="A129" s="205"/>
      <c r="B129" s="100"/>
      <c r="C129" s="57"/>
      <c r="D129" s="122"/>
      <c r="E129" s="259"/>
      <c r="F129" s="291"/>
    </row>
    <row r="130" spans="1:6" ht="18.75" customHeight="1">
      <c r="A130" s="202"/>
      <c r="B130" s="96" t="s">
        <v>19</v>
      </c>
      <c r="C130" s="23"/>
      <c r="D130" s="116"/>
      <c r="E130" s="131"/>
      <c r="F130" s="287"/>
    </row>
    <row r="131" spans="1:6" ht="18.75" customHeight="1">
      <c r="A131" s="202"/>
      <c r="B131" s="97" t="s">
        <v>22</v>
      </c>
      <c r="C131" s="23" t="s">
        <v>21</v>
      </c>
      <c r="D131" s="116">
        <f>D125/6</f>
        <v>4.8999999999999988E-2</v>
      </c>
      <c r="E131" s="131">
        <v>65000</v>
      </c>
      <c r="F131" s="287">
        <f>E131*D131</f>
        <v>3184.9999999999991</v>
      </c>
    </row>
    <row r="132" spans="1:6" ht="18.75" customHeight="1">
      <c r="A132" s="166"/>
      <c r="B132" s="96" t="s">
        <v>112</v>
      </c>
      <c r="C132" s="28"/>
      <c r="D132" s="119"/>
      <c r="E132" s="133"/>
      <c r="F132" s="288">
        <f>SUM(F131)</f>
        <v>3184.9999999999991</v>
      </c>
    </row>
    <row r="133" spans="1:6" ht="18.75" customHeight="1">
      <c r="A133" s="166"/>
      <c r="B133" s="96"/>
      <c r="C133" s="28"/>
      <c r="D133" s="119"/>
      <c r="E133" s="133"/>
      <c r="F133" s="288"/>
    </row>
    <row r="134" spans="1:6" ht="18.75" customHeight="1">
      <c r="A134" s="204"/>
      <c r="B134" s="101" t="s">
        <v>26</v>
      </c>
      <c r="C134" s="56" t="s">
        <v>21</v>
      </c>
      <c r="D134" s="135">
        <f>D131</f>
        <v>4.8999999999999988E-2</v>
      </c>
      <c r="E134" s="134">
        <v>55000</v>
      </c>
      <c r="F134" s="290">
        <f>E134*D134</f>
        <v>2694.9999999999995</v>
      </c>
    </row>
    <row r="135" spans="1:6" ht="18.75" customHeight="1">
      <c r="A135" s="205"/>
      <c r="B135" s="100" t="s">
        <v>113</v>
      </c>
      <c r="C135" s="57"/>
      <c r="D135" s="122"/>
      <c r="E135" s="122"/>
      <c r="F135" s="291">
        <f>SUM(F134)</f>
        <v>2694.9999999999995</v>
      </c>
    </row>
    <row r="136" spans="1:6" ht="18.75" customHeight="1">
      <c r="A136" s="197">
        <v>6.02</v>
      </c>
      <c r="B136" s="98" t="s">
        <v>103</v>
      </c>
      <c r="C136" s="69" t="s">
        <v>10</v>
      </c>
      <c r="D136" s="123">
        <f>(1*0.25*0.25)*4</f>
        <v>0.25</v>
      </c>
      <c r="E136" s="123">
        <f>(F146+F143+F139)/D136</f>
        <v>223920.00000000003</v>
      </c>
      <c r="F136" s="289">
        <f>E136*D136</f>
        <v>55980.000000000007</v>
      </c>
    </row>
    <row r="137" spans="1:6" ht="18.75" customHeight="1">
      <c r="A137" s="204"/>
      <c r="B137" s="100" t="s">
        <v>2</v>
      </c>
      <c r="C137" s="56"/>
      <c r="D137" s="121"/>
      <c r="E137" s="135"/>
      <c r="F137" s="290"/>
    </row>
    <row r="138" spans="1:6" ht="18.75" customHeight="1">
      <c r="A138" s="204"/>
      <c r="B138" s="101" t="s">
        <v>99</v>
      </c>
      <c r="C138" s="56" t="s">
        <v>28</v>
      </c>
      <c r="D138" s="135">
        <f>D136*1.1</f>
        <v>0.27500000000000002</v>
      </c>
      <c r="E138" s="134">
        <v>200000</v>
      </c>
      <c r="F138" s="290">
        <f>E138*D138</f>
        <v>55000.000000000007</v>
      </c>
    </row>
    <row r="139" spans="1:6" ht="18.75" customHeight="1">
      <c r="A139" s="205"/>
      <c r="B139" s="100" t="s">
        <v>100</v>
      </c>
      <c r="C139" s="57"/>
      <c r="D139" s="122"/>
      <c r="E139" s="259"/>
      <c r="F139" s="291">
        <f>SUM(F138)</f>
        <v>55000.000000000007</v>
      </c>
    </row>
    <row r="140" spans="1:6" ht="18.75" customHeight="1">
      <c r="A140" s="205"/>
      <c r="B140" s="100"/>
      <c r="C140" s="57"/>
      <c r="D140" s="122"/>
      <c r="E140" s="259"/>
      <c r="F140" s="291"/>
    </row>
    <row r="141" spans="1:6" ht="18.75" customHeight="1">
      <c r="A141" s="202"/>
      <c r="B141" s="96" t="s">
        <v>19</v>
      </c>
      <c r="C141" s="23"/>
      <c r="D141" s="116"/>
      <c r="E141" s="131"/>
      <c r="F141" s="287"/>
    </row>
    <row r="142" spans="1:6" ht="18.75" customHeight="1">
      <c r="A142" s="202"/>
      <c r="B142" s="97" t="s">
        <v>22</v>
      </c>
      <c r="C142" s="23" t="s">
        <v>21</v>
      </c>
      <c r="D142" s="249">
        <f>D134/6</f>
        <v>8.1666666666666641E-3</v>
      </c>
      <c r="E142" s="131">
        <v>65000</v>
      </c>
      <c r="F142" s="287">
        <f>E142*D142</f>
        <v>530.83333333333314</v>
      </c>
    </row>
    <row r="143" spans="1:6" ht="18.75" customHeight="1">
      <c r="A143" s="166"/>
      <c r="B143" s="96" t="s">
        <v>112</v>
      </c>
      <c r="C143" s="28"/>
      <c r="D143" s="119"/>
      <c r="E143" s="133"/>
      <c r="F143" s="288">
        <f>SUM(F142)</f>
        <v>530.83333333333314</v>
      </c>
    </row>
    <row r="144" spans="1:6" ht="18.75" customHeight="1">
      <c r="A144" s="166"/>
      <c r="B144" s="96"/>
      <c r="C144" s="28"/>
      <c r="D144" s="119"/>
      <c r="E144" s="133"/>
      <c r="F144" s="288"/>
    </row>
    <row r="145" spans="1:6" ht="18.75" customHeight="1">
      <c r="A145" s="204"/>
      <c r="B145" s="101" t="s">
        <v>26</v>
      </c>
      <c r="C145" s="56" t="s">
        <v>21</v>
      </c>
      <c r="D145" s="250">
        <f>D142</f>
        <v>8.1666666666666641E-3</v>
      </c>
      <c r="E145" s="134">
        <v>55000</v>
      </c>
      <c r="F145" s="290">
        <f>E145*D145</f>
        <v>449.16666666666652</v>
      </c>
    </row>
    <row r="146" spans="1:6" ht="18.75" customHeight="1">
      <c r="A146" s="205"/>
      <c r="B146" s="100" t="s">
        <v>113</v>
      </c>
      <c r="C146" s="57"/>
      <c r="D146" s="122"/>
      <c r="E146" s="122"/>
      <c r="F146" s="291">
        <f>SUM(F145)</f>
        <v>449.16666666666652</v>
      </c>
    </row>
    <row r="147" spans="1:6" ht="18.75" customHeight="1">
      <c r="A147" s="197">
        <v>6.03</v>
      </c>
      <c r="B147" s="98" t="s">
        <v>104</v>
      </c>
      <c r="C147" s="69" t="s">
        <v>10</v>
      </c>
      <c r="D147" s="123">
        <f>(3*0.25*0.25)*4</f>
        <v>0.75</v>
      </c>
      <c r="E147" s="123">
        <f>(F157+F154+F150)/D147</f>
        <v>295000.00000000006</v>
      </c>
      <c r="F147" s="289">
        <f>E147*D147</f>
        <v>221250.00000000006</v>
      </c>
    </row>
    <row r="148" spans="1:6" ht="18.75" customHeight="1">
      <c r="A148" s="204"/>
      <c r="B148" s="100" t="s">
        <v>2</v>
      </c>
      <c r="C148" s="56"/>
      <c r="D148" s="121"/>
      <c r="E148" s="135"/>
      <c r="F148" s="290"/>
    </row>
    <row r="149" spans="1:6" ht="18.75" customHeight="1">
      <c r="A149" s="204"/>
      <c r="B149" s="101" t="s">
        <v>99</v>
      </c>
      <c r="C149" s="56" t="s">
        <v>28</v>
      </c>
      <c r="D149" s="135">
        <f>D147*1.1</f>
        <v>0.82500000000000007</v>
      </c>
      <c r="E149" s="134">
        <v>250000</v>
      </c>
      <c r="F149" s="290">
        <f>E149*D149</f>
        <v>206250.00000000003</v>
      </c>
    </row>
    <row r="150" spans="1:6" ht="18.75" customHeight="1">
      <c r="A150" s="205"/>
      <c r="B150" s="100" t="s">
        <v>100</v>
      </c>
      <c r="C150" s="57"/>
      <c r="D150" s="122"/>
      <c r="E150" s="259"/>
      <c r="F150" s="291">
        <f>SUM(F149)</f>
        <v>206250.00000000003</v>
      </c>
    </row>
    <row r="151" spans="1:6" ht="18.75" customHeight="1">
      <c r="A151" s="205"/>
      <c r="B151" s="100"/>
      <c r="C151" s="57"/>
      <c r="D151" s="122"/>
      <c r="E151" s="259"/>
      <c r="F151" s="291"/>
    </row>
    <row r="152" spans="1:6" ht="18.75" customHeight="1">
      <c r="A152" s="202"/>
      <c r="B152" s="96" t="s">
        <v>19</v>
      </c>
      <c r="C152" s="23"/>
      <c r="D152" s="116"/>
      <c r="E152" s="131"/>
      <c r="F152" s="287"/>
    </row>
    <row r="153" spans="1:6" ht="18.75" customHeight="1">
      <c r="A153" s="202"/>
      <c r="B153" s="97" t="s">
        <v>22</v>
      </c>
      <c r="C153" s="23" t="s">
        <v>21</v>
      </c>
      <c r="D153" s="116">
        <f>D147/6</f>
        <v>0.125</v>
      </c>
      <c r="E153" s="131">
        <v>65000</v>
      </c>
      <c r="F153" s="287">
        <f>E153*D153</f>
        <v>8125</v>
      </c>
    </row>
    <row r="154" spans="1:6" ht="18.75" customHeight="1">
      <c r="A154" s="166"/>
      <c r="B154" s="96" t="s">
        <v>112</v>
      </c>
      <c r="C154" s="28"/>
      <c r="D154" s="119"/>
      <c r="E154" s="133"/>
      <c r="F154" s="288">
        <f>SUM(F153)</f>
        <v>8125</v>
      </c>
    </row>
    <row r="155" spans="1:6" ht="18.75" customHeight="1">
      <c r="A155" s="166"/>
      <c r="B155" s="96"/>
      <c r="C155" s="28"/>
      <c r="D155" s="119"/>
      <c r="E155" s="133"/>
      <c r="F155" s="288"/>
    </row>
    <row r="156" spans="1:6" ht="18.75" customHeight="1">
      <c r="A156" s="204"/>
      <c r="B156" s="101" t="s">
        <v>26</v>
      </c>
      <c r="C156" s="56" t="s">
        <v>21</v>
      </c>
      <c r="D156" s="135">
        <f>D153</f>
        <v>0.125</v>
      </c>
      <c r="E156" s="134">
        <v>55000</v>
      </c>
      <c r="F156" s="290">
        <f>E156*D156</f>
        <v>6875</v>
      </c>
    </row>
    <row r="157" spans="1:6" ht="18.75" customHeight="1">
      <c r="A157" s="205"/>
      <c r="B157" s="100" t="s">
        <v>113</v>
      </c>
      <c r="C157" s="57"/>
      <c r="D157" s="122"/>
      <c r="E157" s="122"/>
      <c r="F157" s="291">
        <f>SUM(F156)</f>
        <v>6875</v>
      </c>
    </row>
    <row r="158" spans="1:6" ht="18.75" customHeight="1">
      <c r="A158" s="205"/>
      <c r="B158" s="100"/>
      <c r="C158" s="57"/>
      <c r="D158" s="122"/>
      <c r="E158" s="122"/>
      <c r="F158" s="291"/>
    </row>
    <row r="159" spans="1:6" s="90" customFormat="1" ht="18.75" customHeight="1">
      <c r="A159" s="168">
        <v>7</v>
      </c>
      <c r="B159" s="478" t="s">
        <v>73</v>
      </c>
      <c r="C159" s="478"/>
      <c r="D159" s="478"/>
      <c r="E159" s="478"/>
      <c r="F159" s="479"/>
    </row>
    <row r="160" spans="1:6" ht="18.75" customHeight="1">
      <c r="A160" s="200">
        <v>7.01</v>
      </c>
      <c r="B160" s="16" t="s">
        <v>71</v>
      </c>
      <c r="C160" s="3" t="s">
        <v>28</v>
      </c>
      <c r="D160" s="115">
        <f>0.4*0.8*27.6</f>
        <v>8.8320000000000025</v>
      </c>
      <c r="E160" s="132">
        <f>(F165+F170)/D160</f>
        <v>85069.756862745111</v>
      </c>
      <c r="F160" s="158">
        <f>E160*D160</f>
        <v>751336.09261176502</v>
      </c>
    </row>
    <row r="161" spans="1:6" ht="18.75" customHeight="1">
      <c r="A161" s="199"/>
      <c r="B161" s="8" t="s">
        <v>29</v>
      </c>
      <c r="C161" s="9"/>
      <c r="D161" s="211"/>
      <c r="E161" s="131"/>
      <c r="F161" s="153"/>
    </row>
    <row r="162" spans="1:6" ht="18.75" customHeight="1">
      <c r="A162" s="199"/>
      <c r="B162" s="13" t="s">
        <v>30</v>
      </c>
      <c r="C162" s="9" t="s">
        <v>28</v>
      </c>
      <c r="D162" s="131">
        <f>D160*(10/17)*1.57</f>
        <v>8.156611764705886</v>
      </c>
      <c r="E162" s="131">
        <v>33500</v>
      </c>
      <c r="F162" s="153">
        <f>E162*D162</f>
        <v>273246.49411764718</v>
      </c>
    </row>
    <row r="163" spans="1:6" ht="18.75" customHeight="1">
      <c r="A163" s="199"/>
      <c r="B163" s="13" t="s">
        <v>11</v>
      </c>
      <c r="C163" s="9" t="s">
        <v>31</v>
      </c>
      <c r="D163" s="116">
        <f>D160*(1/17)*1.57*(1440/50)</f>
        <v>23.491041882352949</v>
      </c>
      <c r="E163" s="131">
        <v>11200</v>
      </c>
      <c r="F163" s="153">
        <f t="shared" ref="F163:F164" si="7">E163*D163</f>
        <v>263099.66908235301</v>
      </c>
    </row>
    <row r="164" spans="1:6" ht="18.75" customHeight="1">
      <c r="A164" s="199"/>
      <c r="B164" s="13" t="s">
        <v>32</v>
      </c>
      <c r="C164" s="9" t="s">
        <v>28</v>
      </c>
      <c r="D164" s="116">
        <f>D160*(6/17)*1.57</f>
        <v>4.8939670588235318</v>
      </c>
      <c r="E164" s="131">
        <v>32500</v>
      </c>
      <c r="F164" s="153">
        <f t="shared" si="7"/>
        <v>159053.92941176478</v>
      </c>
    </row>
    <row r="165" spans="1:6" ht="18.75" customHeight="1">
      <c r="A165" s="199"/>
      <c r="B165" s="8" t="s">
        <v>5</v>
      </c>
      <c r="C165" s="9"/>
      <c r="D165" s="131"/>
      <c r="E165" s="131"/>
      <c r="F165" s="160">
        <f>SUM(F162:F164)</f>
        <v>695400.09261176502</v>
      </c>
    </row>
    <row r="166" spans="1:6" ht="18.75" customHeight="1">
      <c r="A166" s="199"/>
      <c r="B166" s="13"/>
      <c r="C166" s="9"/>
      <c r="D166" s="131"/>
      <c r="E166" s="131"/>
      <c r="F166" s="153"/>
    </row>
    <row r="167" spans="1:6" ht="18.75" customHeight="1">
      <c r="A167" s="198"/>
      <c r="B167" s="8" t="s">
        <v>33</v>
      </c>
      <c r="C167" s="9"/>
      <c r="D167" s="131"/>
      <c r="E167" s="131"/>
      <c r="F167" s="153"/>
    </row>
    <row r="168" spans="1:6" ht="18.75" customHeight="1">
      <c r="A168" s="198"/>
      <c r="B168" s="13" t="s">
        <v>34</v>
      </c>
      <c r="C168" s="9" t="s">
        <v>21</v>
      </c>
      <c r="D168" s="131">
        <f>D160/1.5</f>
        <v>5.8880000000000017</v>
      </c>
      <c r="E168" s="131">
        <v>4500</v>
      </c>
      <c r="F168" s="153">
        <f>E168*D168</f>
        <v>26496.000000000007</v>
      </c>
    </row>
    <row r="169" spans="1:6" ht="18.75" customHeight="1">
      <c r="A169" s="198"/>
      <c r="B169" s="13" t="s">
        <v>7</v>
      </c>
      <c r="C169" s="9" t="s">
        <v>21</v>
      </c>
      <c r="D169" s="131">
        <f>+D168*2</f>
        <v>11.776000000000003</v>
      </c>
      <c r="E169" s="131">
        <v>2500</v>
      </c>
      <c r="F169" s="153">
        <f>E169*D169</f>
        <v>29440.000000000007</v>
      </c>
    </row>
    <row r="170" spans="1:6" ht="18.75" customHeight="1">
      <c r="A170" s="166"/>
      <c r="B170" s="96" t="s">
        <v>9</v>
      </c>
      <c r="C170" s="28"/>
      <c r="D170" s="119"/>
      <c r="E170" s="119"/>
      <c r="F170" s="288">
        <f>SUM(F168:F169)</f>
        <v>55936.000000000015</v>
      </c>
    </row>
    <row r="171" spans="1:6" ht="18.75" customHeight="1">
      <c r="A171" s="197">
        <v>8.01</v>
      </c>
      <c r="B171" s="16" t="s">
        <v>35</v>
      </c>
      <c r="C171" s="35" t="s">
        <v>36</v>
      </c>
      <c r="D171" s="136">
        <f>27.6*0.25</f>
        <v>6.9</v>
      </c>
      <c r="E171" s="136">
        <f>(F174+F179)/D171</f>
        <v>1980</v>
      </c>
      <c r="F171" s="151">
        <f>E171*D171</f>
        <v>13662</v>
      </c>
    </row>
    <row r="172" spans="1:6" ht="18.75" customHeight="1">
      <c r="A172" s="199"/>
      <c r="B172" s="8" t="s">
        <v>29</v>
      </c>
      <c r="C172" s="9"/>
      <c r="D172" s="131"/>
      <c r="E172" s="131"/>
      <c r="F172" s="153"/>
    </row>
    <row r="173" spans="1:6" ht="18.75" customHeight="1">
      <c r="A173" s="198"/>
      <c r="B173" s="13" t="s">
        <v>37</v>
      </c>
      <c r="C173" s="9" t="s">
        <v>38</v>
      </c>
      <c r="D173" s="131">
        <f>D171</f>
        <v>6.9</v>
      </c>
      <c r="E173" s="131">
        <v>1500</v>
      </c>
      <c r="F173" s="153">
        <f>E173*D173</f>
        <v>10350</v>
      </c>
    </row>
    <row r="174" spans="1:6" ht="18.75" customHeight="1">
      <c r="A174" s="168"/>
      <c r="B174" s="8" t="s">
        <v>5</v>
      </c>
      <c r="C174" s="12"/>
      <c r="D174" s="133"/>
      <c r="E174" s="133"/>
      <c r="F174" s="160">
        <f>SUM(F173)</f>
        <v>10350</v>
      </c>
    </row>
    <row r="175" spans="1:6" ht="18.75" customHeight="1">
      <c r="A175" s="198"/>
      <c r="B175" s="13"/>
      <c r="C175" s="9"/>
      <c r="D175" s="131"/>
      <c r="E175" s="131"/>
      <c r="F175" s="153"/>
    </row>
    <row r="176" spans="1:6" ht="18.75" customHeight="1">
      <c r="A176" s="233"/>
      <c r="B176" s="8" t="s">
        <v>33</v>
      </c>
      <c r="C176" s="9"/>
      <c r="D176" s="131"/>
      <c r="E176" s="131"/>
      <c r="F176" s="153"/>
    </row>
    <row r="177" spans="1:6" ht="18.75" customHeight="1">
      <c r="A177" s="198"/>
      <c r="B177" s="13" t="s">
        <v>34</v>
      </c>
      <c r="C177" s="9" t="s">
        <v>21</v>
      </c>
      <c r="D177" s="116">
        <f>D171/100</f>
        <v>6.9000000000000006E-2</v>
      </c>
      <c r="E177" s="131">
        <v>18000</v>
      </c>
      <c r="F177" s="153">
        <f>E177*D177</f>
        <v>1242</v>
      </c>
    </row>
    <row r="178" spans="1:6" ht="18.75" customHeight="1">
      <c r="A178" s="198"/>
      <c r="B178" s="13" t="s">
        <v>7</v>
      </c>
      <c r="C178" s="9" t="s">
        <v>21</v>
      </c>
      <c r="D178" s="116">
        <f>+D177*2</f>
        <v>0.13800000000000001</v>
      </c>
      <c r="E178" s="131">
        <v>15000</v>
      </c>
      <c r="F178" s="153">
        <f>E178*D178</f>
        <v>2070</v>
      </c>
    </row>
    <row r="179" spans="1:6" ht="18.75" customHeight="1">
      <c r="A179" s="168"/>
      <c r="B179" s="8" t="s">
        <v>39</v>
      </c>
      <c r="C179" s="12"/>
      <c r="D179" s="133"/>
      <c r="E179" s="133"/>
      <c r="F179" s="160">
        <f>SUM(F177:F178)</f>
        <v>3312</v>
      </c>
    </row>
    <row r="180" spans="1:6" ht="18.75" customHeight="1">
      <c r="A180" s="168"/>
      <c r="B180" s="8"/>
      <c r="C180" s="12"/>
      <c r="D180" s="133"/>
      <c r="E180" s="133"/>
      <c r="F180" s="160"/>
    </row>
    <row r="181" spans="1:6" s="90" customFormat="1" ht="18.75" customHeight="1">
      <c r="A181" s="166">
        <v>9</v>
      </c>
      <c r="B181" s="480" t="s">
        <v>72</v>
      </c>
      <c r="C181" s="480"/>
      <c r="D181" s="480"/>
      <c r="E181" s="480"/>
      <c r="F181" s="481"/>
    </row>
    <row r="182" spans="1:6" ht="18.75" customHeight="1">
      <c r="A182" s="197">
        <v>9.01</v>
      </c>
      <c r="B182" s="16" t="s">
        <v>40</v>
      </c>
      <c r="C182" s="3" t="s">
        <v>1</v>
      </c>
      <c r="D182" s="115">
        <f>(27.6*3)-(7.56+2.35)</f>
        <v>72.890000000000015</v>
      </c>
      <c r="E182" s="132">
        <f>(F188+F193)/D182</f>
        <v>16453.284874881007</v>
      </c>
      <c r="F182" s="158">
        <f>E182*D182</f>
        <v>1199279.9345300768</v>
      </c>
    </row>
    <row r="183" spans="1:6" ht="18.75" customHeight="1">
      <c r="A183" s="201"/>
      <c r="B183" s="102"/>
      <c r="C183" s="20" t="s">
        <v>28</v>
      </c>
      <c r="D183" s="250">
        <f>D182*0.2</f>
        <v>14.578000000000003</v>
      </c>
      <c r="E183" s="134"/>
      <c r="F183" s="163"/>
    </row>
    <row r="184" spans="1:6" ht="18.75" customHeight="1">
      <c r="A184" s="198"/>
      <c r="B184" s="8" t="s">
        <v>2</v>
      </c>
      <c r="C184" s="9"/>
      <c r="D184" s="131"/>
      <c r="E184" s="131"/>
      <c r="F184" s="153"/>
    </row>
    <row r="185" spans="1:6" ht="18.75" customHeight="1">
      <c r="A185" s="198"/>
      <c r="B185" s="48" t="s">
        <v>41</v>
      </c>
      <c r="C185" s="9" t="s">
        <v>31</v>
      </c>
      <c r="D185" s="116">
        <f>D183*0.2439*(1/7)*1.54*(1440/50)</f>
        <v>22.528118131200007</v>
      </c>
      <c r="E185" s="131">
        <v>11200</v>
      </c>
      <c r="F185" s="153">
        <f>E185*D185</f>
        <v>252314.92306944006</v>
      </c>
    </row>
    <row r="186" spans="1:6" ht="18.75" customHeight="1">
      <c r="A186" s="198"/>
      <c r="B186" s="48" t="s">
        <v>42</v>
      </c>
      <c r="C186" s="9" t="s">
        <v>28</v>
      </c>
      <c r="D186" s="116">
        <f>D183*0.2439*(6/7)*1.54</f>
        <v>4.6933579440000015</v>
      </c>
      <c r="E186" s="131">
        <v>30500</v>
      </c>
      <c r="F186" s="153">
        <f t="shared" ref="F186:F187" si="8">E186*D186</f>
        <v>143147.41729200006</v>
      </c>
    </row>
    <row r="187" spans="1:6" ht="18.75" customHeight="1">
      <c r="A187" s="198"/>
      <c r="B187" s="48" t="s">
        <v>43</v>
      </c>
      <c r="C187" s="9" t="s">
        <v>44</v>
      </c>
      <c r="D187" s="116">
        <f>D183*1.15/(0.235*0.1125*0.075)</f>
        <v>8455.010244286841</v>
      </c>
      <c r="E187" s="131">
        <v>58</v>
      </c>
      <c r="F187" s="153">
        <f t="shared" si="8"/>
        <v>490390.59416863677</v>
      </c>
    </row>
    <row r="188" spans="1:6" ht="18.75" customHeight="1">
      <c r="A188" s="168"/>
      <c r="B188" s="60" t="s">
        <v>5</v>
      </c>
      <c r="C188" s="12"/>
      <c r="D188" s="119"/>
      <c r="E188" s="133"/>
      <c r="F188" s="160">
        <f>SUM(F185:F187)</f>
        <v>885852.9345300768</v>
      </c>
    </row>
    <row r="189" spans="1:6" ht="18.75" customHeight="1">
      <c r="A189" s="198"/>
      <c r="B189" s="48"/>
      <c r="C189" s="9"/>
      <c r="D189" s="116"/>
      <c r="E189" s="131"/>
      <c r="F189" s="153"/>
    </row>
    <row r="190" spans="1:6" ht="18.75" customHeight="1">
      <c r="A190" s="198"/>
      <c r="B190" s="8" t="s">
        <v>6</v>
      </c>
      <c r="C190" s="9"/>
      <c r="D190" s="131"/>
      <c r="E190" s="131"/>
      <c r="F190" s="153"/>
    </row>
    <row r="191" spans="1:6" ht="18.75" customHeight="1">
      <c r="A191" s="198"/>
      <c r="B191" s="13" t="s">
        <v>34</v>
      </c>
      <c r="C191" s="9" t="s">
        <v>8</v>
      </c>
      <c r="D191" s="131">
        <f>D183/1</f>
        <v>14.578000000000003</v>
      </c>
      <c r="E191" s="131">
        <v>6500</v>
      </c>
      <c r="F191" s="153">
        <f>E191*D191</f>
        <v>94757.000000000015</v>
      </c>
    </row>
    <row r="192" spans="1:6" ht="18.75" customHeight="1">
      <c r="A192" s="198"/>
      <c r="B192" s="13" t="s">
        <v>7</v>
      </c>
      <c r="C192" s="9" t="s">
        <v>8</v>
      </c>
      <c r="D192" s="116">
        <f>(D183/1.2)*4</f>
        <v>48.593333333333348</v>
      </c>
      <c r="E192" s="131">
        <v>4500</v>
      </c>
      <c r="F192" s="153">
        <f>E192*D192</f>
        <v>218670.00000000006</v>
      </c>
    </row>
    <row r="193" spans="1:6" ht="18.75" customHeight="1">
      <c r="A193" s="172"/>
      <c r="B193" s="60" t="s">
        <v>9</v>
      </c>
      <c r="C193" s="61"/>
      <c r="D193" s="14"/>
      <c r="E193" s="141"/>
      <c r="F193" s="285">
        <f>SUM(F191:F192)</f>
        <v>313427.00000000006</v>
      </c>
    </row>
    <row r="194" spans="1:6" ht="18.75" customHeight="1">
      <c r="A194" s="172"/>
      <c r="B194" s="60"/>
      <c r="C194" s="61"/>
      <c r="D194" s="14"/>
      <c r="E194" s="141"/>
      <c r="F194" s="285"/>
    </row>
    <row r="195" spans="1:6" s="63" customFormat="1" ht="18.75" customHeight="1">
      <c r="A195" s="172">
        <v>10</v>
      </c>
      <c r="B195" s="476" t="s">
        <v>79</v>
      </c>
      <c r="C195" s="476"/>
      <c r="D195" s="476"/>
      <c r="E195" s="476"/>
      <c r="F195" s="477"/>
    </row>
    <row r="196" spans="1:6" ht="18.75" customHeight="1">
      <c r="A196" s="197">
        <v>10.01</v>
      </c>
      <c r="B196" s="2" t="s">
        <v>74</v>
      </c>
      <c r="C196" s="15" t="s">
        <v>45</v>
      </c>
      <c r="D196" s="173">
        <f>8.7*0.25*0.2</f>
        <v>0.435</v>
      </c>
      <c r="E196" s="174">
        <f>(F203+F208+F213)/D196</f>
        <v>150864.79860627177</v>
      </c>
      <c r="F196" s="158">
        <f>E196*D196</f>
        <v>65626.187393728222</v>
      </c>
    </row>
    <row r="197" spans="1:6" ht="18.75" customHeight="1">
      <c r="A197" s="233"/>
      <c r="B197" s="175" t="s">
        <v>29</v>
      </c>
      <c r="C197" s="176"/>
      <c r="D197" s="251"/>
      <c r="E197" s="178"/>
      <c r="F197" s="179"/>
    </row>
    <row r="198" spans="1:6" ht="18.75" customHeight="1">
      <c r="A198" s="233"/>
      <c r="B198" s="180" t="s">
        <v>14</v>
      </c>
      <c r="C198" s="18" t="s">
        <v>45</v>
      </c>
      <c r="D198" s="251">
        <f>D196*(4/7)*1.57</f>
        <v>0.39025714285714286</v>
      </c>
      <c r="E198" s="178">
        <v>48000</v>
      </c>
      <c r="F198" s="179">
        <f>E198*D198</f>
        <v>18732.342857142856</v>
      </c>
    </row>
    <row r="199" spans="1:6" ht="18.75" customHeight="1">
      <c r="A199" s="233"/>
      <c r="B199" s="180" t="s">
        <v>13</v>
      </c>
      <c r="C199" s="18" t="s">
        <v>45</v>
      </c>
      <c r="D199" s="251">
        <f>D196*(2/7)*1.54</f>
        <v>0.19139999999999999</v>
      </c>
      <c r="E199" s="178">
        <v>36500</v>
      </c>
      <c r="F199" s="179">
        <f t="shared" ref="F199:F202" si="9">E199*D199</f>
        <v>6986.0999999999995</v>
      </c>
    </row>
    <row r="200" spans="1:6" ht="19.5">
      <c r="A200" s="233"/>
      <c r="B200" s="180" t="s">
        <v>11</v>
      </c>
      <c r="C200" s="176" t="s">
        <v>12</v>
      </c>
      <c r="D200" s="251">
        <f>D196*(1/7)*1.57*(1440/50)</f>
        <v>2.8098514285714287</v>
      </c>
      <c r="E200" s="178">
        <v>11200</v>
      </c>
      <c r="F200" s="179">
        <f t="shared" si="9"/>
        <v>31470.335999999999</v>
      </c>
    </row>
    <row r="201" spans="1:6" ht="19.5">
      <c r="A201" s="204"/>
      <c r="B201" s="101" t="s">
        <v>15</v>
      </c>
      <c r="C201" s="56" t="s">
        <v>16</v>
      </c>
      <c r="D201" s="135">
        <f>D206*10</f>
        <v>0.72499999999999998</v>
      </c>
      <c r="E201" s="134">
        <v>2200</v>
      </c>
      <c r="F201" s="179">
        <f t="shared" si="9"/>
        <v>1595</v>
      </c>
    </row>
    <row r="202" spans="1:6" ht="19.5">
      <c r="A202" s="204"/>
      <c r="B202" s="101" t="s">
        <v>17</v>
      </c>
      <c r="C202" s="56" t="s">
        <v>16</v>
      </c>
      <c r="D202" s="135">
        <f>D207*5</f>
        <v>0.36249999999999999</v>
      </c>
      <c r="E202" s="134">
        <v>1900</v>
      </c>
      <c r="F202" s="179">
        <f t="shared" si="9"/>
        <v>688.75</v>
      </c>
    </row>
    <row r="203" spans="1:6" ht="19.5">
      <c r="A203" s="233"/>
      <c r="B203" s="175" t="s">
        <v>5</v>
      </c>
      <c r="C203" s="176"/>
      <c r="D203" s="251"/>
      <c r="E203" s="178"/>
      <c r="F203" s="292">
        <f>SUM(F198:F202)</f>
        <v>59472.528857142854</v>
      </c>
    </row>
    <row r="204" spans="1:6" ht="19.5">
      <c r="A204" s="233"/>
      <c r="B204" s="180"/>
      <c r="C204" s="176"/>
      <c r="D204" s="251"/>
      <c r="E204" s="178"/>
      <c r="F204" s="179"/>
    </row>
    <row r="205" spans="1:6" ht="19.5">
      <c r="A205" s="204"/>
      <c r="B205" s="100" t="s">
        <v>19</v>
      </c>
      <c r="C205" s="56"/>
      <c r="D205" s="135"/>
      <c r="E205" s="134"/>
      <c r="F205" s="290"/>
    </row>
    <row r="206" spans="1:6" ht="16.5" customHeight="1">
      <c r="A206" s="204"/>
      <c r="B206" s="101" t="s">
        <v>20</v>
      </c>
      <c r="C206" s="56" t="s">
        <v>21</v>
      </c>
      <c r="D206" s="135">
        <f>D196/6</f>
        <v>7.2499999999999995E-2</v>
      </c>
      <c r="E206" s="134">
        <v>15000</v>
      </c>
      <c r="F206" s="290">
        <f>E206*D206</f>
        <v>1087.5</v>
      </c>
    </row>
    <row r="207" spans="1:6" ht="16.5" customHeight="1">
      <c r="A207" s="204"/>
      <c r="B207" s="101" t="s">
        <v>22</v>
      </c>
      <c r="C207" s="56" t="s">
        <v>21</v>
      </c>
      <c r="D207" s="135">
        <f>D196/6</f>
        <v>7.2499999999999995E-2</v>
      </c>
      <c r="E207" s="134">
        <v>15000</v>
      </c>
      <c r="F207" s="290">
        <f>E207*D207</f>
        <v>1087.5</v>
      </c>
    </row>
    <row r="208" spans="1:6" ht="19.5">
      <c r="A208" s="205"/>
      <c r="B208" s="100" t="s">
        <v>23</v>
      </c>
      <c r="C208" s="57"/>
      <c r="D208" s="122"/>
      <c r="E208" s="259"/>
      <c r="F208" s="291">
        <f>SUM(F206:F207)</f>
        <v>2175</v>
      </c>
    </row>
    <row r="209" spans="1:6" ht="19.5">
      <c r="A209" s="205"/>
      <c r="B209" s="100"/>
      <c r="C209" s="57"/>
      <c r="D209" s="122"/>
      <c r="E209" s="259"/>
      <c r="F209" s="291"/>
    </row>
    <row r="210" spans="1:6" ht="19.5">
      <c r="A210" s="236"/>
      <c r="B210" s="175" t="s">
        <v>33</v>
      </c>
      <c r="C210" s="176"/>
      <c r="D210" s="251"/>
      <c r="E210" s="178"/>
      <c r="F210" s="179"/>
    </row>
    <row r="211" spans="1:6" ht="19.5">
      <c r="A211" s="236"/>
      <c r="B211" s="180" t="s">
        <v>34</v>
      </c>
      <c r="C211" s="176" t="s">
        <v>21</v>
      </c>
      <c r="D211" s="251">
        <f>D196/1.64</f>
        <v>0.2652439024390244</v>
      </c>
      <c r="E211" s="131">
        <v>6000</v>
      </c>
      <c r="F211" s="179">
        <f>E211*D211</f>
        <v>1591.4634146341464</v>
      </c>
    </row>
    <row r="212" spans="1:6" ht="19.5">
      <c r="A212" s="236"/>
      <c r="B212" s="180" t="s">
        <v>7</v>
      </c>
      <c r="C212" s="176" t="s">
        <v>21</v>
      </c>
      <c r="D212" s="251">
        <f>+D211*2</f>
        <v>0.53048780487804881</v>
      </c>
      <c r="E212" s="131">
        <v>4500</v>
      </c>
      <c r="F212" s="179">
        <f>E212*D212</f>
        <v>2387.1951219512198</v>
      </c>
    </row>
    <row r="213" spans="1:6" s="63" customFormat="1" ht="19.5">
      <c r="A213" s="186"/>
      <c r="B213" s="175" t="s">
        <v>119</v>
      </c>
      <c r="C213" s="183"/>
      <c r="D213" s="252"/>
      <c r="E213" s="185"/>
      <c r="F213" s="292">
        <f>SUM(F211:F212)</f>
        <v>3978.6585365853662</v>
      </c>
    </row>
    <row r="214" spans="1:6" ht="19.5">
      <c r="A214" s="236"/>
      <c r="B214" s="180"/>
      <c r="C214" s="176"/>
      <c r="D214" s="251"/>
      <c r="E214" s="178"/>
      <c r="F214" s="179"/>
    </row>
    <row r="215" spans="1:6" s="63" customFormat="1" ht="19.5">
      <c r="A215" s="186">
        <v>11</v>
      </c>
      <c r="B215" s="484" t="s">
        <v>76</v>
      </c>
      <c r="C215" s="484"/>
      <c r="D215" s="484"/>
      <c r="E215" s="484"/>
      <c r="F215" s="485"/>
    </row>
    <row r="216" spans="1:6" ht="19.5">
      <c r="A216" s="197">
        <v>11.01</v>
      </c>
      <c r="B216" s="98" t="s">
        <v>75</v>
      </c>
      <c r="C216" s="41" t="s">
        <v>36</v>
      </c>
      <c r="D216" s="115">
        <f>46.8+28</f>
        <v>74.8</v>
      </c>
      <c r="E216" s="115">
        <f>(F223+F228+F233)/D216</f>
        <v>10706.829694561777</v>
      </c>
      <c r="F216" s="293">
        <f>E216*D216</f>
        <v>800870.86115322087</v>
      </c>
    </row>
    <row r="217" spans="1:6" ht="19.5">
      <c r="A217" s="201"/>
      <c r="B217" s="19"/>
      <c r="C217" s="20"/>
      <c r="D217" s="135">
        <f>D216*0.05</f>
        <v>3.74</v>
      </c>
      <c r="E217" s="134"/>
      <c r="F217" s="163"/>
    </row>
    <row r="218" spans="1:6" ht="19.5">
      <c r="A218" s="202"/>
      <c r="B218" s="96" t="s">
        <v>2</v>
      </c>
      <c r="C218" s="23"/>
      <c r="D218" s="116"/>
      <c r="E218" s="116"/>
      <c r="F218" s="287"/>
    </row>
    <row r="219" spans="1:6" ht="19.5">
      <c r="A219" s="199"/>
      <c r="B219" s="13" t="s">
        <v>30</v>
      </c>
      <c r="C219" s="9" t="s">
        <v>28</v>
      </c>
      <c r="D219" s="131">
        <f>D216*0.1*1.5</f>
        <v>11.22</v>
      </c>
      <c r="E219" s="131">
        <v>25500</v>
      </c>
      <c r="F219" s="153">
        <f>E219*D219</f>
        <v>286110</v>
      </c>
    </row>
    <row r="220" spans="1:6" ht="19.5">
      <c r="A220" s="202"/>
      <c r="B220" s="97" t="s">
        <v>11</v>
      </c>
      <c r="C220" s="23" t="s">
        <v>12</v>
      </c>
      <c r="D220" s="131">
        <f>D217*(1/13)*1.57*(1440/50)</f>
        <v>13.008295384615389</v>
      </c>
      <c r="E220" s="131">
        <v>11200</v>
      </c>
      <c r="F220" s="153">
        <f t="shared" ref="F220:F222" si="10">E220*D220</f>
        <v>145692.90830769236</v>
      </c>
    </row>
    <row r="221" spans="1:6" ht="19.5">
      <c r="A221" s="202"/>
      <c r="B221" s="97" t="s">
        <v>13</v>
      </c>
      <c r="C221" s="23" t="s">
        <v>10</v>
      </c>
      <c r="D221" s="131">
        <f>D217*(4/13)*1.57</f>
        <v>1.8067076923076928</v>
      </c>
      <c r="E221" s="131">
        <v>36500</v>
      </c>
      <c r="F221" s="153">
        <f t="shared" si="10"/>
        <v>65944.830769230786</v>
      </c>
    </row>
    <row r="222" spans="1:6" ht="19.5">
      <c r="A222" s="202"/>
      <c r="B222" s="97" t="s">
        <v>14</v>
      </c>
      <c r="C222" s="23" t="s">
        <v>10</v>
      </c>
      <c r="D222" s="131">
        <f>D217*(8/13)*1.57</f>
        <v>3.6134153846153856</v>
      </c>
      <c r="E222" s="131">
        <v>43500</v>
      </c>
      <c r="F222" s="153">
        <f t="shared" si="10"/>
        <v>157183.56923076927</v>
      </c>
    </row>
    <row r="223" spans="1:6" ht="16.5" customHeight="1">
      <c r="A223" s="166"/>
      <c r="B223" s="96" t="s">
        <v>18</v>
      </c>
      <c r="C223" s="28"/>
      <c r="D223" s="119"/>
      <c r="E223" s="131"/>
      <c r="F223" s="288">
        <f>SUM(F219:F222)</f>
        <v>654931.30830769241</v>
      </c>
    </row>
    <row r="224" spans="1:6" ht="19.5">
      <c r="A224" s="166"/>
      <c r="B224" s="96"/>
      <c r="C224" s="28"/>
      <c r="D224" s="119"/>
      <c r="E224" s="131"/>
      <c r="F224" s="288"/>
    </row>
    <row r="225" spans="1:6" ht="19.5">
      <c r="A225" s="204"/>
      <c r="B225" s="100" t="s">
        <v>19</v>
      </c>
      <c r="C225" s="56"/>
      <c r="D225" s="135"/>
      <c r="E225" s="281"/>
      <c r="F225" s="290"/>
    </row>
    <row r="226" spans="1:6" ht="19.5">
      <c r="A226" s="204"/>
      <c r="B226" s="101" t="s">
        <v>20</v>
      </c>
      <c r="C226" s="56" t="s">
        <v>21</v>
      </c>
      <c r="D226" s="135">
        <f>D212/6</f>
        <v>8.8414634146341473E-2</v>
      </c>
      <c r="E226" s="131">
        <v>8500</v>
      </c>
      <c r="F226" s="290">
        <f>E226*D226</f>
        <v>751.52439024390253</v>
      </c>
    </row>
    <row r="227" spans="1:6" ht="16.5" customHeight="1">
      <c r="A227" s="204"/>
      <c r="B227" s="101" t="s">
        <v>22</v>
      </c>
      <c r="C227" s="56" t="s">
        <v>21</v>
      </c>
      <c r="D227" s="135">
        <f>D212/6</f>
        <v>8.8414634146341473E-2</v>
      </c>
      <c r="E227" s="131">
        <v>6500</v>
      </c>
      <c r="F227" s="290">
        <f>E227*D227</f>
        <v>574.69512195121956</v>
      </c>
    </row>
    <row r="228" spans="1:6" ht="19.5">
      <c r="A228" s="205"/>
      <c r="B228" s="100" t="s">
        <v>23</v>
      </c>
      <c r="C228" s="57"/>
      <c r="D228" s="122"/>
      <c r="E228" s="259"/>
      <c r="F228" s="291">
        <f>SUM(F226:F227)</f>
        <v>1326.2195121951222</v>
      </c>
    </row>
    <row r="229" spans="1:6" ht="19.5">
      <c r="A229" s="204"/>
      <c r="B229" s="101"/>
      <c r="C229" s="56"/>
      <c r="D229" s="135"/>
      <c r="E229" s="131"/>
      <c r="F229" s="290"/>
    </row>
    <row r="230" spans="1:6" ht="19.5">
      <c r="A230" s="202"/>
      <c r="B230" s="96" t="s">
        <v>6</v>
      </c>
      <c r="C230" s="23"/>
      <c r="D230" s="116"/>
      <c r="E230" s="131"/>
      <c r="F230" s="287"/>
    </row>
    <row r="231" spans="1:6" ht="19.5">
      <c r="A231" s="202"/>
      <c r="B231" s="97" t="s">
        <v>24</v>
      </c>
      <c r="C231" s="23" t="s">
        <v>21</v>
      </c>
      <c r="D231" s="116">
        <f>(D217/6)*2</f>
        <v>1.2466666666666668</v>
      </c>
      <c r="E231" s="131">
        <v>12500</v>
      </c>
      <c r="F231" s="287">
        <f>E231*D231</f>
        <v>15583.333333333336</v>
      </c>
    </row>
    <row r="232" spans="1:6" ht="19.5">
      <c r="A232" s="202"/>
      <c r="B232" s="97" t="s">
        <v>25</v>
      </c>
      <c r="C232" s="23" t="s">
        <v>21</v>
      </c>
      <c r="D232" s="116">
        <f>(D217/6)*18</f>
        <v>11.22</v>
      </c>
      <c r="E232" s="131">
        <v>11500</v>
      </c>
      <c r="F232" s="287">
        <f>E232*D232</f>
        <v>129030.00000000001</v>
      </c>
    </row>
    <row r="233" spans="1:6" ht="19.5">
      <c r="A233" s="166"/>
      <c r="B233" s="96" t="s">
        <v>27</v>
      </c>
      <c r="C233" s="28"/>
      <c r="D233" s="119"/>
      <c r="E233" s="119"/>
      <c r="F233" s="288">
        <f>SUM(F231:F232)</f>
        <v>144613.33333333334</v>
      </c>
    </row>
    <row r="234" spans="1:6" ht="19.5">
      <c r="A234" s="202"/>
      <c r="B234" s="97"/>
      <c r="C234" s="23"/>
      <c r="D234" s="116"/>
      <c r="E234" s="116"/>
      <c r="F234" s="287"/>
    </row>
    <row r="235" spans="1:6" ht="19.5">
      <c r="A235" s="197">
        <v>12.01</v>
      </c>
      <c r="B235" s="2" t="s">
        <v>46</v>
      </c>
      <c r="C235" s="65" t="s">
        <v>47</v>
      </c>
      <c r="D235" s="212">
        <f>46.8+28</f>
        <v>74.8</v>
      </c>
      <c r="E235" s="137">
        <f>(F244+F239)/D235</f>
        <v>6241.9761333333345</v>
      </c>
      <c r="F235" s="151">
        <f>E235*D235</f>
        <v>466899.81477333338</v>
      </c>
    </row>
    <row r="236" spans="1:6" ht="19.5">
      <c r="A236" s="199"/>
      <c r="B236" s="60" t="s">
        <v>2</v>
      </c>
      <c r="C236" s="44"/>
      <c r="D236" s="138"/>
      <c r="E236" s="138"/>
      <c r="F236" s="153"/>
    </row>
    <row r="237" spans="1:6" ht="19.5">
      <c r="A237" s="199"/>
      <c r="B237" s="48" t="s">
        <v>11</v>
      </c>
      <c r="C237" s="44" t="s">
        <v>12</v>
      </c>
      <c r="D237" s="138">
        <f>D235*(1/6)*0.032*(1440/50)*1.54</f>
        <v>17.6934912</v>
      </c>
      <c r="E237" s="279">
        <v>11200</v>
      </c>
      <c r="F237" s="153">
        <f>E237*D237</f>
        <v>198167.10144</v>
      </c>
    </row>
    <row r="238" spans="1:6" ht="19.5">
      <c r="A238" s="199"/>
      <c r="B238" s="48" t="s">
        <v>13</v>
      </c>
      <c r="C238" s="44" t="s">
        <v>10</v>
      </c>
      <c r="D238" s="138">
        <f>D235*(5/6)*0.032*1.54</f>
        <v>3.0717866666666671</v>
      </c>
      <c r="E238" s="279">
        <v>36500</v>
      </c>
      <c r="F238" s="153">
        <f>E238*D238</f>
        <v>112120.21333333335</v>
      </c>
    </row>
    <row r="239" spans="1:6" ht="19.5">
      <c r="A239" s="166"/>
      <c r="B239" s="96" t="s">
        <v>5</v>
      </c>
      <c r="C239" s="28"/>
      <c r="D239" s="119"/>
      <c r="E239" s="259"/>
      <c r="F239" s="288">
        <f>SUM(F237:F238)</f>
        <v>310287.31477333338</v>
      </c>
    </row>
    <row r="240" spans="1:6" ht="19.5">
      <c r="A240" s="202"/>
      <c r="B240" s="97"/>
      <c r="C240" s="23"/>
      <c r="D240" s="116"/>
      <c r="E240" s="131"/>
      <c r="F240" s="287"/>
    </row>
    <row r="241" spans="1:6" ht="19.5">
      <c r="A241" s="202"/>
      <c r="B241" s="96" t="s">
        <v>6</v>
      </c>
      <c r="C241" s="23"/>
      <c r="D241" s="116"/>
      <c r="E241" s="131"/>
      <c r="F241" s="287"/>
    </row>
    <row r="242" spans="1:6" ht="19.5">
      <c r="A242" s="202"/>
      <c r="B242" s="97" t="s">
        <v>34</v>
      </c>
      <c r="C242" s="23" t="s">
        <v>8</v>
      </c>
      <c r="D242" s="116">
        <f>D235/16</f>
        <v>4.6749999999999998</v>
      </c>
      <c r="E242" s="131">
        <v>14500</v>
      </c>
      <c r="F242" s="287">
        <f>E242*D242</f>
        <v>67787.5</v>
      </c>
    </row>
    <row r="243" spans="1:6" ht="19.5">
      <c r="A243" s="202"/>
      <c r="B243" s="97" t="s">
        <v>7</v>
      </c>
      <c r="C243" s="23" t="s">
        <v>8</v>
      </c>
      <c r="D243" s="116">
        <f>D242*2</f>
        <v>9.35</v>
      </c>
      <c r="E243" s="131">
        <v>9500</v>
      </c>
      <c r="F243" s="287">
        <f>E243*D243</f>
        <v>88825</v>
      </c>
    </row>
    <row r="244" spans="1:6" ht="19.5">
      <c r="A244" s="166"/>
      <c r="B244" s="96" t="s">
        <v>9</v>
      </c>
      <c r="C244" s="28"/>
      <c r="D244" s="119"/>
      <c r="E244" s="119"/>
      <c r="F244" s="288">
        <f>SUM(F242:F243)</f>
        <v>156612.5</v>
      </c>
    </row>
    <row r="245" spans="1:6" ht="19.5">
      <c r="A245" s="166"/>
      <c r="B245" s="96"/>
      <c r="C245" s="28"/>
      <c r="D245" s="119"/>
      <c r="E245" s="119"/>
      <c r="F245" s="288"/>
    </row>
    <row r="246" spans="1:6" s="90" customFormat="1" ht="19.5">
      <c r="A246" s="166">
        <v>13</v>
      </c>
      <c r="B246" s="480" t="s">
        <v>48</v>
      </c>
      <c r="C246" s="480"/>
      <c r="D246" s="480"/>
      <c r="E246" s="480"/>
      <c r="F246" s="481"/>
    </row>
    <row r="247" spans="1:6" ht="19.5">
      <c r="A247" s="203">
        <v>13.01</v>
      </c>
      <c r="B247" s="16" t="s">
        <v>49</v>
      </c>
      <c r="C247" s="35" t="s">
        <v>50</v>
      </c>
      <c r="D247" s="123">
        <f>(27.6*3)-(7.56+2.45)</f>
        <v>72.790000000000006</v>
      </c>
      <c r="E247" s="136">
        <f>(F251+F256)/D247</f>
        <v>3614.7472000000002</v>
      </c>
      <c r="F247" s="151">
        <f>E247*D247</f>
        <v>263117.44868800003</v>
      </c>
    </row>
    <row r="248" spans="1:6" ht="19.5">
      <c r="A248" s="202"/>
      <c r="B248" s="60" t="s">
        <v>51</v>
      </c>
      <c r="C248" s="44"/>
      <c r="D248" s="131"/>
      <c r="E248" s="131"/>
      <c r="F248" s="153"/>
    </row>
    <row r="249" spans="1:6" ht="19.5">
      <c r="A249" s="201"/>
      <c r="B249" s="48" t="s">
        <v>52</v>
      </c>
      <c r="C249" s="44" t="s">
        <v>12</v>
      </c>
      <c r="D249" s="116">
        <f>D247*0.015*(1/5)*1.54*(1440/50)</f>
        <v>9.6851462400000017</v>
      </c>
      <c r="E249" s="279">
        <v>11200</v>
      </c>
      <c r="F249" s="153">
        <f>E249*D249</f>
        <v>108473.63788800001</v>
      </c>
    </row>
    <row r="250" spans="1:6" ht="19.5">
      <c r="A250" s="237"/>
      <c r="B250" s="48" t="s">
        <v>13</v>
      </c>
      <c r="C250" s="44" t="s">
        <v>28</v>
      </c>
      <c r="D250" s="116">
        <f>D247*0.015*1.54*(4/5)</f>
        <v>1.3451592000000001</v>
      </c>
      <c r="E250" s="279">
        <v>36500</v>
      </c>
      <c r="F250" s="153">
        <f>E250*D250</f>
        <v>49098.310800000007</v>
      </c>
    </row>
    <row r="251" spans="1:6" ht="19.5">
      <c r="A251" s="190"/>
      <c r="B251" s="60" t="s">
        <v>5</v>
      </c>
      <c r="C251" s="61"/>
      <c r="D251" s="119"/>
      <c r="E251" s="259"/>
      <c r="F251" s="160">
        <f>SUM(F249:F250)</f>
        <v>157571.94868800003</v>
      </c>
    </row>
    <row r="252" spans="1:6" ht="19.5">
      <c r="A252" s="237"/>
      <c r="B252" s="48"/>
      <c r="C252" s="44"/>
      <c r="D252" s="116"/>
      <c r="E252" s="131"/>
      <c r="F252" s="153"/>
    </row>
    <row r="253" spans="1:6" ht="19.5">
      <c r="A253" s="237"/>
      <c r="B253" s="60" t="s">
        <v>53</v>
      </c>
      <c r="C253" s="44"/>
      <c r="D253" s="131"/>
      <c r="E253" s="131"/>
      <c r="F253" s="153"/>
    </row>
    <row r="254" spans="1:6" ht="19.5">
      <c r="A254" s="237"/>
      <c r="B254" s="48" t="s">
        <v>34</v>
      </c>
      <c r="C254" s="44" t="s">
        <v>8</v>
      </c>
      <c r="D254" s="116">
        <f>D247/10</f>
        <v>7.2790000000000008</v>
      </c>
      <c r="E254" s="131">
        <v>4500</v>
      </c>
      <c r="F254" s="153">
        <f>E254*D254</f>
        <v>32755.500000000004</v>
      </c>
    </row>
    <row r="255" spans="1:6" ht="19.5">
      <c r="A255" s="237"/>
      <c r="B255" s="48" t="s">
        <v>7</v>
      </c>
      <c r="C255" s="44" t="s">
        <v>8</v>
      </c>
      <c r="D255" s="131">
        <f>D254*4</f>
        <v>29.116000000000003</v>
      </c>
      <c r="E255" s="131">
        <v>2500</v>
      </c>
      <c r="F255" s="153">
        <f>E255*D255</f>
        <v>72790.000000000015</v>
      </c>
    </row>
    <row r="256" spans="1:6" ht="19.5">
      <c r="A256" s="238"/>
      <c r="B256" s="96" t="s">
        <v>54</v>
      </c>
      <c r="C256" s="49"/>
      <c r="D256" s="139"/>
      <c r="E256" s="50"/>
      <c r="F256" s="160">
        <f>SUM(F254:F255)</f>
        <v>105545.50000000001</v>
      </c>
    </row>
    <row r="257" spans="1:6" ht="19.5">
      <c r="A257" s="198"/>
      <c r="B257" s="48"/>
      <c r="C257" s="44"/>
      <c r="D257" s="131"/>
      <c r="E257" s="131"/>
      <c r="F257" s="153"/>
    </row>
    <row r="258" spans="1:6" s="90" customFormat="1" ht="19.5">
      <c r="A258" s="190">
        <v>14</v>
      </c>
      <c r="B258" s="103" t="s">
        <v>55</v>
      </c>
      <c r="C258" s="94"/>
      <c r="D258" s="127"/>
      <c r="E258" s="127"/>
      <c r="F258" s="294"/>
    </row>
    <row r="259" spans="1:6" ht="19.5">
      <c r="A259" s="239">
        <v>14.01</v>
      </c>
      <c r="B259" s="34" t="s">
        <v>49</v>
      </c>
      <c r="C259" s="35" t="s">
        <v>1</v>
      </c>
      <c r="D259" s="123">
        <f>D247</f>
        <v>72.790000000000006</v>
      </c>
      <c r="E259" s="136">
        <f>(F267+F272)/D259</f>
        <v>4583.9192196730319</v>
      </c>
      <c r="F259" s="151">
        <f>E259*D259</f>
        <v>333663.48000000004</v>
      </c>
    </row>
    <row r="260" spans="1:6" ht="19.5">
      <c r="A260" s="198"/>
      <c r="B260" s="60" t="s">
        <v>2</v>
      </c>
      <c r="C260" s="44"/>
      <c r="D260" s="131"/>
      <c r="E260" s="131"/>
      <c r="F260" s="153"/>
    </row>
    <row r="261" spans="1:6" ht="19.5">
      <c r="A261" s="240"/>
      <c r="B261" s="48" t="s">
        <v>56</v>
      </c>
      <c r="C261" s="44" t="s">
        <v>57</v>
      </c>
      <c r="D261" s="131">
        <f>D259*0.07*3</f>
        <v>15.285900000000002</v>
      </c>
      <c r="E261" s="131">
        <f>115000/D261</f>
        <v>7523.273081728913</v>
      </c>
      <c r="F261" s="153">
        <f>E261*D261</f>
        <v>115000</v>
      </c>
    </row>
    <row r="262" spans="1:6" ht="19.5">
      <c r="A262" s="237"/>
      <c r="B262" s="48" t="str">
        <f>'[1]Emulsion Paint'!$B$19</f>
        <v>Induit/undercoat ( 2 coats)</v>
      </c>
      <c r="C262" s="44" t="s">
        <v>57</v>
      </c>
      <c r="D262" s="131">
        <f>D259*0.07*2</f>
        <v>10.190600000000002</v>
      </c>
      <c r="E262" s="131">
        <f>145000/D262</f>
        <v>14228.799089356857</v>
      </c>
      <c r="F262" s="153">
        <f t="shared" ref="F262:F266" si="11">E262*D262</f>
        <v>145000</v>
      </c>
    </row>
    <row r="263" spans="1:6" ht="19.5">
      <c r="A263" s="237"/>
      <c r="B263" s="48" t="str">
        <f>'[1]Emulsion Paint'!$B$24</f>
        <v>Roller</v>
      </c>
      <c r="C263" s="44" t="s">
        <v>44</v>
      </c>
      <c r="D263" s="116">
        <f>D259/100</f>
        <v>0.7279000000000001</v>
      </c>
      <c r="E263" s="131">
        <v>1100</v>
      </c>
      <c r="F263" s="153">
        <f t="shared" si="11"/>
        <v>800.69000000000017</v>
      </c>
    </row>
    <row r="264" spans="1:6" ht="19.5">
      <c r="A264" s="237"/>
      <c r="B264" s="48" t="str">
        <f>'[1]Emulsion Paint'!$B$23</f>
        <v>Brush</v>
      </c>
      <c r="C264" s="44" t="s">
        <v>44</v>
      </c>
      <c r="D264" s="116">
        <f>D259/100</f>
        <v>0.7279000000000001</v>
      </c>
      <c r="E264" s="131">
        <v>1100</v>
      </c>
      <c r="F264" s="153">
        <f t="shared" si="11"/>
        <v>800.69000000000017</v>
      </c>
    </row>
    <row r="265" spans="1:6" ht="19.5">
      <c r="A265" s="237"/>
      <c r="B265" s="48" t="s">
        <v>58</v>
      </c>
      <c r="C265" s="44" t="s">
        <v>59</v>
      </c>
      <c r="D265" s="116">
        <f>D259/100</f>
        <v>0.7279000000000001</v>
      </c>
      <c r="E265" s="131">
        <v>3500</v>
      </c>
      <c r="F265" s="153">
        <f t="shared" si="11"/>
        <v>2547.6500000000005</v>
      </c>
    </row>
    <row r="266" spans="1:6" ht="19.5">
      <c r="A266" s="237"/>
      <c r="B266" s="48" t="s">
        <v>60</v>
      </c>
      <c r="C266" s="44" t="s">
        <v>44</v>
      </c>
      <c r="D266" s="116">
        <f>D259/50</f>
        <v>1.4558000000000002</v>
      </c>
      <c r="E266" s="131">
        <v>3500</v>
      </c>
      <c r="F266" s="153">
        <f t="shared" si="11"/>
        <v>5095.3000000000011</v>
      </c>
    </row>
    <row r="267" spans="1:6" ht="19.5">
      <c r="A267" s="190"/>
      <c r="B267" s="60" t="s">
        <v>61</v>
      </c>
      <c r="C267" s="61"/>
      <c r="D267" s="119"/>
      <c r="E267" s="131"/>
      <c r="F267" s="160">
        <f>SUM(F261:F266)</f>
        <v>269244.33</v>
      </c>
    </row>
    <row r="268" spans="1:6" ht="19.5">
      <c r="A268" s="237"/>
      <c r="B268" s="48"/>
      <c r="C268" s="44"/>
      <c r="D268" s="116"/>
      <c r="E268" s="131"/>
      <c r="F268" s="153"/>
    </row>
    <row r="269" spans="1:6" ht="19.5">
      <c r="A269" s="237"/>
      <c r="B269" s="60" t="s">
        <v>6</v>
      </c>
      <c r="C269" s="44"/>
      <c r="D269" s="131"/>
      <c r="E269" s="131"/>
      <c r="F269" s="153"/>
    </row>
    <row r="270" spans="1:6" ht="19.5">
      <c r="A270" s="237"/>
      <c r="B270" s="48" t="s">
        <v>7</v>
      </c>
      <c r="C270" s="44" t="s">
        <v>62</v>
      </c>
      <c r="D270" s="131">
        <f>D271</f>
        <v>5.3682625000000002</v>
      </c>
      <c r="E270" s="131">
        <v>5500</v>
      </c>
      <c r="F270" s="153">
        <f>E270*D270</f>
        <v>29525.443750000002</v>
      </c>
    </row>
    <row r="271" spans="1:6" ht="19.5">
      <c r="A271" s="237"/>
      <c r="B271" s="48" t="s">
        <v>63</v>
      </c>
      <c r="C271" s="44" t="s">
        <v>62</v>
      </c>
      <c r="D271" s="131">
        <f>D259*(0.59/8)</f>
        <v>5.3682625000000002</v>
      </c>
      <c r="E271" s="131">
        <v>6500</v>
      </c>
      <c r="F271" s="153">
        <f>E271*D271</f>
        <v>34893.706250000003</v>
      </c>
    </row>
    <row r="272" spans="1:6" ht="19.5">
      <c r="A272" s="166"/>
      <c r="B272" s="96" t="s">
        <v>9</v>
      </c>
      <c r="C272" s="28"/>
      <c r="D272" s="119"/>
      <c r="E272" s="119"/>
      <c r="F272" s="288">
        <f>SUM(F270:F271)</f>
        <v>64419.150000000009</v>
      </c>
    </row>
    <row r="273" spans="1:6" ht="19.5">
      <c r="A273" s="241"/>
      <c r="B273" s="105"/>
      <c r="C273" s="47"/>
      <c r="D273" s="126"/>
      <c r="E273" s="126"/>
      <c r="F273" s="295"/>
    </row>
    <row r="274" spans="1:6" s="90" customFormat="1" ht="19.5">
      <c r="A274" s="166">
        <v>15</v>
      </c>
      <c r="B274" s="480" t="s">
        <v>125</v>
      </c>
      <c r="C274" s="480"/>
      <c r="D274" s="480"/>
      <c r="E274" s="480"/>
      <c r="F274" s="481"/>
    </row>
    <row r="275" spans="1:6" ht="19.5">
      <c r="A275" s="203">
        <v>15.01</v>
      </c>
      <c r="B275" s="16" t="s">
        <v>64</v>
      </c>
      <c r="C275" s="35" t="s">
        <v>50</v>
      </c>
      <c r="D275" s="136">
        <f>(27.6*3)-(7.56+2.45)</f>
        <v>72.790000000000006</v>
      </c>
      <c r="E275" s="136">
        <f>(F280+F285)/D275</f>
        <v>3636.377433333334</v>
      </c>
      <c r="F275" s="151">
        <f>E275*D275</f>
        <v>264691.91337233339</v>
      </c>
    </row>
    <row r="276" spans="1:6" ht="19.5">
      <c r="A276" s="202"/>
      <c r="B276" s="60" t="s">
        <v>51</v>
      </c>
      <c r="C276" s="44"/>
      <c r="D276" s="131"/>
      <c r="E276" s="131"/>
      <c r="F276" s="153"/>
    </row>
    <row r="277" spans="1:6" ht="19.5">
      <c r="A277" s="201"/>
      <c r="B277" s="48" t="s">
        <v>52</v>
      </c>
      <c r="C277" s="44" t="s">
        <v>12</v>
      </c>
      <c r="D277" s="116">
        <f>D275*0.01*(1/4)*1.54*(1440/50)+(D275*0.003*(1/6)*1.57*(1440/50))</f>
        <v>9.7165915200000015</v>
      </c>
      <c r="E277" s="279">
        <v>11200</v>
      </c>
      <c r="F277" s="153">
        <f>E277*D277</f>
        <v>108825.82502400002</v>
      </c>
    </row>
    <row r="278" spans="1:6" ht="19.5">
      <c r="A278" s="237"/>
      <c r="B278" s="48" t="s">
        <v>13</v>
      </c>
      <c r="C278" s="44" t="s">
        <v>28</v>
      </c>
      <c r="D278" s="116">
        <f>D275*0.01*1.5*1.54*(3/4)</f>
        <v>1.2610867500000003</v>
      </c>
      <c r="E278" s="279">
        <v>36500</v>
      </c>
      <c r="F278" s="153">
        <f t="shared" ref="F278:F279" si="12">E278*D278</f>
        <v>46029.666375000008</v>
      </c>
    </row>
    <row r="279" spans="1:6" ht="19.5">
      <c r="A279" s="237"/>
      <c r="B279" s="48" t="s">
        <v>65</v>
      </c>
      <c r="C279" s="44" t="s">
        <v>31</v>
      </c>
      <c r="D279" s="116">
        <f>D275*0.003*(5/6)*1.57*(1440/50)</f>
        <v>8.2281816000000028</v>
      </c>
      <c r="E279" s="134">
        <v>10400</v>
      </c>
      <c r="F279" s="153">
        <f t="shared" si="12"/>
        <v>85573.088640000031</v>
      </c>
    </row>
    <row r="280" spans="1:6" ht="19.5">
      <c r="A280" s="190"/>
      <c r="B280" s="60" t="s">
        <v>5</v>
      </c>
      <c r="C280" s="61"/>
      <c r="D280" s="119"/>
      <c r="F280" s="160">
        <f>SUM(F277:F279)</f>
        <v>240428.58003900005</v>
      </c>
    </row>
    <row r="281" spans="1:6" ht="19.5">
      <c r="A281" s="237"/>
      <c r="B281" s="48"/>
      <c r="C281" s="44"/>
      <c r="D281" s="116"/>
      <c r="E281" s="131"/>
      <c r="F281" s="153"/>
    </row>
    <row r="282" spans="1:6" ht="19.5">
      <c r="A282" s="92"/>
      <c r="B282" s="60" t="s">
        <v>53</v>
      </c>
      <c r="C282" s="44"/>
      <c r="D282" s="131"/>
      <c r="E282" s="131"/>
      <c r="F282" s="153"/>
    </row>
    <row r="283" spans="1:6" ht="19.5">
      <c r="A283" s="92"/>
      <c r="B283" s="48" t="s">
        <v>34</v>
      </c>
      <c r="C283" s="44" t="s">
        <v>8</v>
      </c>
      <c r="D283" s="116">
        <f>D275/15</f>
        <v>4.8526666666666669</v>
      </c>
      <c r="E283" s="131">
        <v>1800</v>
      </c>
      <c r="F283" s="153">
        <f>E283*D283</f>
        <v>8734.8000000000011</v>
      </c>
    </row>
    <row r="284" spans="1:6" ht="19.5">
      <c r="A284" s="92"/>
      <c r="B284" s="48" t="s">
        <v>7</v>
      </c>
      <c r="C284" s="44" t="s">
        <v>8</v>
      </c>
      <c r="D284" s="131">
        <f>D283*4</f>
        <v>19.410666666666668</v>
      </c>
      <c r="E284" s="131">
        <v>800</v>
      </c>
      <c r="F284" s="153">
        <f>E284*D284</f>
        <v>15528.533333333335</v>
      </c>
    </row>
    <row r="285" spans="1:6" ht="19.5">
      <c r="A285" s="93"/>
      <c r="B285" s="96" t="s">
        <v>54</v>
      </c>
      <c r="C285" s="61"/>
      <c r="D285" s="133"/>
      <c r="F285" s="160">
        <f>SUM(F283:F284)</f>
        <v>24263.333333333336</v>
      </c>
    </row>
    <row r="286" spans="1:6" ht="19.5">
      <c r="A286" s="91"/>
      <c r="B286" s="97"/>
      <c r="C286" s="23"/>
      <c r="D286" s="116"/>
      <c r="E286" s="116"/>
      <c r="F286" s="287"/>
    </row>
    <row r="287" spans="1:6" ht="19.7" customHeight="1">
      <c r="A287" s="84">
        <v>16</v>
      </c>
      <c r="B287" s="480" t="s">
        <v>143</v>
      </c>
      <c r="C287" s="480"/>
      <c r="D287" s="480"/>
      <c r="E287" s="480"/>
      <c r="F287" s="481"/>
    </row>
    <row r="288" spans="1:6" ht="19.5">
      <c r="A288" s="206">
        <v>16.010000000000002</v>
      </c>
      <c r="B288" s="16" t="s">
        <v>66</v>
      </c>
      <c r="C288" s="35" t="s">
        <v>1</v>
      </c>
      <c r="D288" s="136">
        <f>D275+D247</f>
        <v>145.58000000000001</v>
      </c>
      <c r="E288" s="136">
        <f>(F298+F303)/D288</f>
        <v>3785.2207786889567</v>
      </c>
      <c r="F288" s="151">
        <f>E288*D288</f>
        <v>551052.44096153835</v>
      </c>
    </row>
    <row r="289" spans="1:7" ht="19.5">
      <c r="A289" s="91"/>
      <c r="B289" s="60" t="s">
        <v>2</v>
      </c>
      <c r="C289" s="44"/>
      <c r="D289" s="131"/>
      <c r="E289" s="131"/>
      <c r="F289" s="153"/>
    </row>
    <row r="290" spans="1:7" ht="19.5">
      <c r="A290" s="91"/>
      <c r="B290" s="48" t="str">
        <f>'[1]Emulsion Paint'!$B$22</f>
        <v>Emulsion paint ( 3 coats)</v>
      </c>
      <c r="C290" s="44" t="s">
        <v>57</v>
      </c>
      <c r="D290" s="131">
        <f>D288*0.07*3</f>
        <v>30.571800000000003</v>
      </c>
      <c r="E290" s="131">
        <f>105000/D290</f>
        <v>3434.537711224069</v>
      </c>
      <c r="F290" s="153">
        <f>E290*D290</f>
        <v>105000</v>
      </c>
    </row>
    <row r="291" spans="1:7" ht="19.5">
      <c r="A291" s="229"/>
      <c r="B291" s="48" t="str">
        <f>'[1]Emulsion Paint'!$B$20</f>
        <v>Whiting/stucco ( 2 coats)</v>
      </c>
      <c r="C291" s="44" t="s">
        <v>67</v>
      </c>
      <c r="D291" s="131">
        <f>D288*((50*2)/65)*2</f>
        <v>447.93846153846158</v>
      </c>
      <c r="E291" s="131">
        <f>145000/D291</f>
        <v>323.70517928286847</v>
      </c>
      <c r="F291" s="153">
        <f t="shared" ref="F291:F297" si="13">E291*D291</f>
        <v>145000</v>
      </c>
    </row>
    <row r="292" spans="1:7" ht="19.5">
      <c r="A292" s="92"/>
      <c r="B292" s="48" t="str">
        <f>'[1]Emulsion Paint'!$B$19</f>
        <v>Induit/undercoat ( 2 coats)</v>
      </c>
      <c r="C292" s="44" t="s">
        <v>57</v>
      </c>
      <c r="D292" s="131">
        <f>D288*0.07*2</f>
        <v>20.381200000000003</v>
      </c>
      <c r="E292" s="131">
        <v>1100</v>
      </c>
      <c r="F292" s="153">
        <f t="shared" si="13"/>
        <v>22419.320000000003</v>
      </c>
    </row>
    <row r="293" spans="1:7" ht="19.5">
      <c r="A293" s="92"/>
      <c r="B293" s="48" t="s">
        <v>68</v>
      </c>
      <c r="C293" s="44" t="s">
        <v>57</v>
      </c>
      <c r="D293" s="131">
        <f>D288*((30/65)*2)</f>
        <v>134.38153846153847</v>
      </c>
      <c r="E293" s="131">
        <v>1100</v>
      </c>
      <c r="F293" s="153">
        <f t="shared" si="13"/>
        <v>147819.69230769231</v>
      </c>
    </row>
    <row r="294" spans="1:7" ht="19.5">
      <c r="A294" s="92"/>
      <c r="B294" s="48" t="str">
        <f>'[1]Emulsion Paint'!$B$21</f>
        <v>Colle</v>
      </c>
      <c r="C294" s="44" t="s">
        <v>69</v>
      </c>
      <c r="D294" s="131">
        <f>D288*((1/65)*2)</f>
        <v>4.4793846153846157</v>
      </c>
      <c r="E294" s="131">
        <v>3500</v>
      </c>
      <c r="F294" s="153">
        <f t="shared" si="13"/>
        <v>15677.846153846154</v>
      </c>
    </row>
    <row r="295" spans="1:7" ht="19.5">
      <c r="A295" s="92"/>
      <c r="B295" s="48" t="str">
        <f>'[1]Emulsion Paint'!$B$24</f>
        <v>Roller</v>
      </c>
      <c r="C295" s="44" t="s">
        <v>44</v>
      </c>
      <c r="D295" s="116">
        <f>D288/100</f>
        <v>1.4558000000000002</v>
      </c>
      <c r="E295" s="131">
        <v>3500</v>
      </c>
      <c r="F295" s="153">
        <f t="shared" si="13"/>
        <v>5095.3000000000011</v>
      </c>
    </row>
    <row r="296" spans="1:7" ht="19.5">
      <c r="A296" s="92"/>
      <c r="B296" s="48" t="str">
        <f>'[1]Emulsion Paint'!$B$23</f>
        <v>Brush</v>
      </c>
      <c r="C296" s="44" t="s">
        <v>44</v>
      </c>
      <c r="D296" s="116">
        <f>D288/100</f>
        <v>1.4558000000000002</v>
      </c>
      <c r="E296" s="131">
        <v>3500</v>
      </c>
      <c r="F296" s="153">
        <f t="shared" si="13"/>
        <v>5095.3000000000011</v>
      </c>
    </row>
    <row r="297" spans="1:7" ht="19.5">
      <c r="A297" s="92"/>
      <c r="B297" s="48" t="s">
        <v>58</v>
      </c>
      <c r="C297" s="44" t="s">
        <v>59</v>
      </c>
      <c r="D297" s="116">
        <f>D288/100</f>
        <v>1.4558000000000002</v>
      </c>
      <c r="E297" s="131">
        <v>3500</v>
      </c>
      <c r="F297" s="153">
        <f t="shared" si="13"/>
        <v>5095.3000000000011</v>
      </c>
    </row>
    <row r="298" spans="1:7" ht="19.5">
      <c r="A298" s="93"/>
      <c r="B298" s="60" t="s">
        <v>5</v>
      </c>
      <c r="C298" s="61"/>
      <c r="D298" s="119"/>
      <c r="E298" s="131"/>
      <c r="F298" s="160">
        <f>SUM(F290:F297)</f>
        <v>451202.75846153841</v>
      </c>
    </row>
    <row r="299" spans="1:7" ht="19.5">
      <c r="A299" s="92"/>
      <c r="B299" s="48"/>
      <c r="C299" s="44"/>
      <c r="D299" s="116"/>
      <c r="E299" s="281"/>
      <c r="F299" s="153"/>
      <c r="G299" s="67"/>
    </row>
    <row r="300" spans="1:7" ht="19.5">
      <c r="A300" s="92"/>
      <c r="B300" s="60" t="s">
        <v>6</v>
      </c>
      <c r="C300" s="44"/>
      <c r="D300" s="131"/>
      <c r="E300" s="281"/>
      <c r="F300" s="153"/>
    </row>
    <row r="301" spans="1:7" ht="19.5">
      <c r="A301" s="92"/>
      <c r="B301" s="48" t="s">
        <v>7</v>
      </c>
      <c r="C301" s="44" t="s">
        <v>62</v>
      </c>
      <c r="D301" s="131">
        <f>D302</f>
        <v>10.736525</v>
      </c>
      <c r="E301" s="131">
        <v>4500</v>
      </c>
      <c r="F301" s="153">
        <f>E301*D301</f>
        <v>48314.362500000003</v>
      </c>
    </row>
    <row r="302" spans="1:7" ht="19.5">
      <c r="A302" s="92"/>
      <c r="B302" s="48" t="s">
        <v>70</v>
      </c>
      <c r="C302" s="44" t="s">
        <v>62</v>
      </c>
      <c r="D302" s="131">
        <f>D288*(0.59/8)</f>
        <v>10.736525</v>
      </c>
      <c r="E302" s="131">
        <v>4800</v>
      </c>
      <c r="F302" s="153">
        <f>E302*D302</f>
        <v>51535.32</v>
      </c>
    </row>
    <row r="303" spans="1:7" ht="19.5">
      <c r="A303" s="93"/>
      <c r="B303" s="60" t="s">
        <v>54</v>
      </c>
      <c r="C303" s="61"/>
      <c r="D303" s="133"/>
      <c r="E303" s="133"/>
      <c r="F303" s="160">
        <f>SUM(F301:F302)</f>
        <v>99849.682499999995</v>
      </c>
    </row>
    <row r="304" spans="1:7" ht="19.5">
      <c r="A304" s="93"/>
      <c r="B304" s="60"/>
      <c r="C304" s="61"/>
      <c r="D304" s="133"/>
      <c r="E304" s="133"/>
      <c r="F304" s="160"/>
    </row>
    <row r="305" spans="1:6" ht="36" customHeight="1">
      <c r="A305" s="315">
        <v>17</v>
      </c>
      <c r="B305" s="471" t="s">
        <v>133</v>
      </c>
      <c r="C305" s="471"/>
      <c r="D305" s="471"/>
      <c r="E305" s="471"/>
      <c r="F305" s="472"/>
    </row>
    <row r="306" spans="1:6" ht="19.5">
      <c r="A306" s="1">
        <v>17.010000000000002</v>
      </c>
      <c r="B306" s="2" t="s">
        <v>132</v>
      </c>
      <c r="C306" s="270" t="s">
        <v>131</v>
      </c>
      <c r="D306" s="268">
        <v>2</v>
      </c>
      <c r="E306" s="263">
        <f>(F309+F314)/D306</f>
        <v>95550</v>
      </c>
      <c r="F306" s="301">
        <f>E306*D306</f>
        <v>191100</v>
      </c>
    </row>
    <row r="307" spans="1:6" ht="19.5">
      <c r="A307" s="227"/>
      <c r="B307" s="8" t="s">
        <v>29</v>
      </c>
      <c r="C307" s="9"/>
      <c r="D307" s="131"/>
      <c r="E307" s="131"/>
      <c r="F307" s="153"/>
    </row>
    <row r="308" spans="1:6" ht="19.5">
      <c r="A308" s="86"/>
      <c r="B308" s="13" t="s">
        <v>145</v>
      </c>
      <c r="C308" s="9" t="s">
        <v>146</v>
      </c>
      <c r="D308" s="131">
        <v>2</v>
      </c>
      <c r="E308" s="131">
        <f>30000*(1*2.45)</f>
        <v>73500</v>
      </c>
      <c r="F308" s="153">
        <f>E308*D308</f>
        <v>147000</v>
      </c>
    </row>
    <row r="309" spans="1:6" ht="19.5">
      <c r="A309" s="87"/>
      <c r="B309" s="8" t="s">
        <v>5</v>
      </c>
      <c r="C309" s="12"/>
      <c r="D309" s="133"/>
      <c r="E309" s="133"/>
      <c r="F309" s="160">
        <f>SUM(F308)</f>
        <v>147000</v>
      </c>
    </row>
    <row r="310" spans="1:6" ht="19.5">
      <c r="A310" s="86"/>
      <c r="B310" s="13"/>
      <c r="C310" s="9"/>
      <c r="D310" s="131"/>
      <c r="E310" s="131"/>
      <c r="F310" s="153"/>
    </row>
    <row r="311" spans="1:6" ht="19.5">
      <c r="A311" s="228"/>
      <c r="B311" s="8" t="s">
        <v>33</v>
      </c>
      <c r="C311" s="9"/>
      <c r="D311" s="131"/>
      <c r="E311" s="131"/>
      <c r="F311" s="153"/>
    </row>
    <row r="312" spans="1:6" ht="19.5">
      <c r="A312" s="86"/>
      <c r="B312" s="13" t="s">
        <v>34</v>
      </c>
      <c r="C312" s="9" t="s">
        <v>21</v>
      </c>
      <c r="D312" s="116">
        <f>D306/2</f>
        <v>1</v>
      </c>
      <c r="E312" s="131">
        <f>E308*0.15</f>
        <v>11025</v>
      </c>
      <c r="F312" s="153">
        <f>E312*D312</f>
        <v>11025</v>
      </c>
    </row>
    <row r="313" spans="1:6" ht="19.5">
      <c r="A313" s="86"/>
      <c r="B313" s="13" t="s">
        <v>7</v>
      </c>
      <c r="C313" s="9" t="s">
        <v>21</v>
      </c>
      <c r="D313" s="116">
        <f>+D312*4</f>
        <v>4</v>
      </c>
      <c r="E313" s="131">
        <f>E312*1.5/2</f>
        <v>8268.75</v>
      </c>
      <c r="F313" s="153">
        <f>E313*D313</f>
        <v>33075</v>
      </c>
    </row>
    <row r="314" spans="1:6" ht="19.5">
      <c r="A314" s="87"/>
      <c r="B314" s="8" t="s">
        <v>39</v>
      </c>
      <c r="C314" s="12"/>
      <c r="D314" s="133"/>
      <c r="E314" s="133"/>
      <c r="F314" s="160">
        <f>SUM(F312:F313)</f>
        <v>44100</v>
      </c>
    </row>
    <row r="315" spans="1:6">
      <c r="A315" s="316"/>
      <c r="B315" s="48"/>
      <c r="C315" s="305"/>
      <c r="D315" s="317"/>
      <c r="E315" s="317"/>
      <c r="F315" s="308"/>
    </row>
    <row r="316" spans="1:6" ht="37.5" customHeight="1">
      <c r="A316" s="315">
        <v>18</v>
      </c>
      <c r="B316" s="471" t="s">
        <v>134</v>
      </c>
      <c r="C316" s="471"/>
      <c r="D316" s="471"/>
      <c r="E316" s="471"/>
      <c r="F316" s="472"/>
    </row>
    <row r="317" spans="1:6" ht="19.5">
      <c r="A317" s="1">
        <v>18.010000000000002</v>
      </c>
      <c r="B317" s="2" t="s">
        <v>135</v>
      </c>
      <c r="C317" s="270" t="s">
        <v>131</v>
      </c>
      <c r="D317" s="268">
        <v>2</v>
      </c>
      <c r="E317" s="262">
        <f>(F320+F325)/D317</f>
        <v>171990.00000000003</v>
      </c>
      <c r="F317" s="309">
        <f>E317*D317</f>
        <v>343980.00000000006</v>
      </c>
    </row>
    <row r="318" spans="1:6" ht="19.5">
      <c r="A318" s="227"/>
      <c r="B318" s="8" t="s">
        <v>29</v>
      </c>
      <c r="C318" s="9"/>
      <c r="D318" s="131"/>
      <c r="E318" s="131"/>
      <c r="F318" s="153"/>
    </row>
    <row r="319" spans="1:6" ht="19.5">
      <c r="A319" s="86"/>
      <c r="B319" s="13" t="s">
        <v>168</v>
      </c>
      <c r="C319" s="9" t="s">
        <v>146</v>
      </c>
      <c r="D319" s="131">
        <v>1</v>
      </c>
      <c r="E319" s="131">
        <f>65000*(1.8*2.1)</f>
        <v>245700.00000000003</v>
      </c>
      <c r="F319" s="153">
        <f>E319*D319</f>
        <v>245700.00000000003</v>
      </c>
    </row>
    <row r="320" spans="1:6" ht="19.5">
      <c r="A320" s="87"/>
      <c r="B320" s="8" t="s">
        <v>5</v>
      </c>
      <c r="C320" s="12"/>
      <c r="D320" s="133"/>
      <c r="E320" s="133"/>
      <c r="F320" s="160">
        <f>SUM(F319)</f>
        <v>245700.00000000003</v>
      </c>
    </row>
    <row r="321" spans="1:6" ht="19.5">
      <c r="A321" s="86"/>
      <c r="B321" s="13"/>
      <c r="C321" s="9"/>
      <c r="D321" s="131"/>
      <c r="E321" s="131"/>
      <c r="F321" s="153"/>
    </row>
    <row r="322" spans="1:6" ht="19.5">
      <c r="A322" s="228"/>
      <c r="B322" s="8" t="s">
        <v>33</v>
      </c>
      <c r="C322" s="9"/>
      <c r="D322" s="131"/>
      <c r="E322" s="131"/>
      <c r="F322" s="153"/>
    </row>
    <row r="323" spans="1:6" ht="19.5">
      <c r="A323" s="86"/>
      <c r="B323" s="13" t="s">
        <v>34</v>
      </c>
      <c r="C323" s="9" t="s">
        <v>21</v>
      </c>
      <c r="D323" s="116">
        <f>D317/2</f>
        <v>1</v>
      </c>
      <c r="E323" s="131">
        <f>E319*0.1</f>
        <v>24570.000000000004</v>
      </c>
      <c r="F323" s="153">
        <f>E323*D323</f>
        <v>24570.000000000004</v>
      </c>
    </row>
    <row r="324" spans="1:6" ht="19.5">
      <c r="A324" s="86"/>
      <c r="B324" s="13" t="s">
        <v>7</v>
      </c>
      <c r="C324" s="9" t="s">
        <v>21</v>
      </c>
      <c r="D324" s="116">
        <f>+D323*4</f>
        <v>4</v>
      </c>
      <c r="E324" s="131">
        <f>E323*1.5/2</f>
        <v>18427.500000000004</v>
      </c>
      <c r="F324" s="153">
        <f>E324*D324</f>
        <v>73710.000000000015</v>
      </c>
    </row>
    <row r="325" spans="1:6" ht="19.5">
      <c r="A325" s="87"/>
      <c r="B325" s="8" t="s">
        <v>39</v>
      </c>
      <c r="C325" s="12"/>
      <c r="D325" s="133"/>
      <c r="E325" s="133"/>
      <c r="F325" s="160">
        <f>SUM(F323:F324)</f>
        <v>98280.000000000015</v>
      </c>
    </row>
    <row r="326" spans="1:6" ht="19.5">
      <c r="A326" s="1">
        <v>18.02</v>
      </c>
      <c r="B326" s="2" t="s">
        <v>169</v>
      </c>
      <c r="C326" s="270" t="s">
        <v>131</v>
      </c>
      <c r="D326" s="268">
        <v>2</v>
      </c>
      <c r="E326" s="262">
        <f>(F334+F329)/D326</f>
        <v>147420.00000000003</v>
      </c>
      <c r="F326" s="309">
        <f>E326*D326</f>
        <v>294840.00000000006</v>
      </c>
    </row>
    <row r="327" spans="1:6" ht="19.5">
      <c r="A327" s="227"/>
      <c r="B327" s="8" t="s">
        <v>29</v>
      </c>
      <c r="C327" s="9"/>
      <c r="D327" s="131"/>
      <c r="E327" s="131"/>
      <c r="F327" s="153"/>
    </row>
    <row r="328" spans="1:6" ht="19.5">
      <c r="A328" s="86"/>
      <c r="B328" s="48" t="s">
        <v>165</v>
      </c>
      <c r="C328" s="248" t="s">
        <v>131</v>
      </c>
      <c r="D328" s="267">
        <v>2</v>
      </c>
      <c r="E328" s="131">
        <f>65000*(0.9*2.1)</f>
        <v>122850.00000000001</v>
      </c>
      <c r="F328" s="310">
        <f>E328*D328</f>
        <v>245700.00000000003</v>
      </c>
    </row>
    <row r="329" spans="1:6" ht="19.5">
      <c r="A329" s="87"/>
      <c r="B329" s="8" t="s">
        <v>5</v>
      </c>
      <c r="C329" s="12"/>
      <c r="D329" s="133"/>
      <c r="E329" s="133"/>
      <c r="F329" s="160">
        <f>SUM(F328)</f>
        <v>245700.00000000003</v>
      </c>
    </row>
    <row r="330" spans="1:6" ht="19.5">
      <c r="A330" s="86"/>
      <c r="B330" s="13"/>
      <c r="C330" s="9"/>
      <c r="D330" s="131"/>
      <c r="E330" s="131"/>
      <c r="F330" s="153"/>
    </row>
    <row r="331" spans="1:6" ht="19.5">
      <c r="A331" s="228"/>
      <c r="B331" s="8" t="s">
        <v>33</v>
      </c>
      <c r="C331" s="9"/>
      <c r="D331" s="131"/>
      <c r="E331" s="131"/>
      <c r="F331" s="153"/>
    </row>
    <row r="332" spans="1:6" ht="19.5">
      <c r="A332" s="86"/>
      <c r="B332" s="13" t="s">
        <v>34</v>
      </c>
      <c r="C332" s="9" t="s">
        <v>21</v>
      </c>
      <c r="D332" s="116">
        <f>D326/2</f>
        <v>1</v>
      </c>
      <c r="E332" s="131">
        <f>E328*0.1</f>
        <v>12285.000000000002</v>
      </c>
      <c r="F332" s="153">
        <f>E332*D332</f>
        <v>12285.000000000002</v>
      </c>
    </row>
    <row r="333" spans="1:6" ht="19.5">
      <c r="A333" s="86"/>
      <c r="B333" s="13" t="s">
        <v>7</v>
      </c>
      <c r="C333" s="9" t="s">
        <v>21</v>
      </c>
      <c r="D333" s="116">
        <f>+D332*4</f>
        <v>4</v>
      </c>
      <c r="E333" s="131">
        <f>E332*1.5/2</f>
        <v>9213.7500000000018</v>
      </c>
      <c r="F333" s="153">
        <f>E333*D333</f>
        <v>36855.000000000007</v>
      </c>
    </row>
    <row r="334" spans="1:6" ht="19.5">
      <c r="A334" s="341"/>
      <c r="B334" s="312" t="s">
        <v>39</v>
      </c>
      <c r="C334" s="242"/>
      <c r="D334" s="195"/>
      <c r="E334" s="195"/>
      <c r="F334" s="196">
        <f>SUM(F332:F333)</f>
        <v>49140.000000000007</v>
      </c>
    </row>
    <row r="335" spans="1:6" s="340" customFormat="1" ht="37.5">
      <c r="A335" s="338"/>
      <c r="B335" s="473" t="s">
        <v>179</v>
      </c>
      <c r="C335" s="473"/>
      <c r="D335" s="473"/>
      <c r="E335" s="473"/>
      <c r="F335" s="339">
        <f>F326+F317+F306+F288+F275+F259+F247+F235+F216+F196+F182+F171+F160+F147+F136+F125+F112+F100+F89+F78+F58+F40+F30+F22+F14+F7+F3</f>
        <v>6864594.9894250212</v>
      </c>
    </row>
  </sheetData>
  <mergeCells count="15">
    <mergeCell ref="B305:F305"/>
    <mergeCell ref="B316:F316"/>
    <mergeCell ref="B335:E335"/>
    <mergeCell ref="B274:F274"/>
    <mergeCell ref="B2:F2"/>
    <mergeCell ref="B13:F13"/>
    <mergeCell ref="B39:F39"/>
    <mergeCell ref="B77:F77"/>
    <mergeCell ref="B124:F124"/>
    <mergeCell ref="B287:F287"/>
    <mergeCell ref="B159:F159"/>
    <mergeCell ref="B181:F181"/>
    <mergeCell ref="B195:F195"/>
    <mergeCell ref="B215:F215"/>
    <mergeCell ref="B246:F246"/>
  </mergeCells>
  <pageMargins left="0.7" right="0.7" top="0.75" bottom="0.75" header="0.3" footer="0.3"/>
  <ignoredErrors>
    <ignoredError sqref="F6 F29 F57 F88 F99 F135 F146 F170"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1"/>
  <sheetViews>
    <sheetView topLeftCell="A339" workbookViewId="0">
      <selection activeCell="F353" sqref="F353"/>
    </sheetView>
  </sheetViews>
  <sheetFormatPr defaultColWidth="8.85546875" defaultRowHeight="15.75"/>
  <cols>
    <col min="1" max="1" width="8.85546875" style="230"/>
    <col min="2" max="2" width="60.42578125" style="106" customWidth="1"/>
    <col min="3" max="3" width="10.140625" style="108" customWidth="1"/>
    <col min="4" max="4" width="18.140625" style="80" customWidth="1"/>
    <col min="5" max="5" width="21.140625" style="281" customWidth="1"/>
    <col min="6" max="6" width="29.140625" style="281" customWidth="1"/>
  </cols>
  <sheetData>
    <row r="1" spans="1:6" s="70" customFormat="1" ht="37.5" customHeight="1">
      <c r="A1" s="226"/>
      <c r="B1" s="148" t="s">
        <v>120</v>
      </c>
      <c r="C1" s="148" t="s">
        <v>121</v>
      </c>
      <c r="D1" s="148" t="s">
        <v>122</v>
      </c>
      <c r="E1" s="274" t="s">
        <v>123</v>
      </c>
      <c r="F1" s="284" t="s">
        <v>124</v>
      </c>
    </row>
    <row r="2" spans="1:6" ht="19.5" customHeight="1">
      <c r="A2" s="149">
        <v>1</v>
      </c>
      <c r="B2" s="474" t="s">
        <v>93</v>
      </c>
      <c r="C2" s="474"/>
      <c r="D2" s="474"/>
      <c r="E2" s="474"/>
      <c r="F2" s="475"/>
    </row>
    <row r="3" spans="1:6" ht="18" customHeight="1">
      <c r="A3" s="197">
        <v>1.01</v>
      </c>
      <c r="B3" s="16" t="s">
        <v>94</v>
      </c>
      <c r="C3" s="35" t="s">
        <v>28</v>
      </c>
      <c r="D3" s="220">
        <f>16*0.8*0.4</f>
        <v>5.120000000000001</v>
      </c>
      <c r="E3" s="136">
        <f>F6/D3</f>
        <v>2222.2222222222222</v>
      </c>
      <c r="F3" s="151">
        <f>E3*D3</f>
        <v>11377.777777777779</v>
      </c>
    </row>
    <row r="4" spans="1:6" ht="18" customHeight="1">
      <c r="A4" s="198"/>
      <c r="B4" s="8" t="s">
        <v>6</v>
      </c>
      <c r="C4" s="9"/>
      <c r="D4" s="109"/>
      <c r="E4" s="131"/>
      <c r="F4" s="153"/>
    </row>
    <row r="5" spans="1:6" ht="18" customHeight="1">
      <c r="A5" s="198"/>
      <c r="B5" s="13" t="s">
        <v>7</v>
      </c>
      <c r="C5" s="9" t="s">
        <v>8</v>
      </c>
      <c r="D5" s="25">
        <f>D3/0.9</f>
        <v>5.68888888888889</v>
      </c>
      <c r="E5" s="131">
        <v>2000</v>
      </c>
      <c r="F5" s="153">
        <f>E5*D5</f>
        <v>11377.777777777779</v>
      </c>
    </row>
    <row r="6" spans="1:6" ht="18" customHeight="1">
      <c r="A6" s="172"/>
      <c r="B6" s="60" t="s">
        <v>9</v>
      </c>
      <c r="C6" s="61"/>
      <c r="D6" s="215"/>
      <c r="E6" s="275"/>
      <c r="F6" s="285">
        <f>SUM(F5)</f>
        <v>11377.777777777779</v>
      </c>
    </row>
    <row r="7" spans="1:6" ht="18" customHeight="1">
      <c r="A7" s="197">
        <v>1.03</v>
      </c>
      <c r="B7" s="16" t="s">
        <v>114</v>
      </c>
      <c r="C7" s="35" t="s">
        <v>28</v>
      </c>
      <c r="D7" s="244">
        <f>(0.75*0.75*1.25)*2</f>
        <v>1.40625</v>
      </c>
      <c r="E7" s="136">
        <f>F11/D7</f>
        <v>1444.4444444444443</v>
      </c>
      <c r="F7" s="151">
        <f>E7*D7</f>
        <v>2031.2499999999998</v>
      </c>
    </row>
    <row r="8" spans="1:6" ht="18" customHeight="1">
      <c r="A8" s="198"/>
      <c r="B8" s="8" t="s">
        <v>6</v>
      </c>
      <c r="C8" s="9"/>
      <c r="D8" s="25"/>
      <c r="E8" s="131"/>
      <c r="F8" s="153"/>
    </row>
    <row r="9" spans="1:6" ht="18" customHeight="1">
      <c r="A9" s="198"/>
      <c r="B9" s="13" t="s">
        <v>92</v>
      </c>
      <c r="C9" s="9" t="s">
        <v>8</v>
      </c>
      <c r="D9" s="25">
        <f>D10/10</f>
        <v>0.15625</v>
      </c>
      <c r="E9" s="131">
        <v>2500</v>
      </c>
      <c r="F9" s="153">
        <f>E9*D9</f>
        <v>390.625</v>
      </c>
    </row>
    <row r="10" spans="1:6" ht="18" customHeight="1">
      <c r="A10" s="198"/>
      <c r="B10" s="13" t="s">
        <v>7</v>
      </c>
      <c r="C10" s="9" t="s">
        <v>8</v>
      </c>
      <c r="D10" s="25">
        <f>D7/0.9</f>
        <v>1.5625</v>
      </c>
      <c r="E10" s="131">
        <v>1050</v>
      </c>
      <c r="F10" s="153">
        <f>E10*D10</f>
        <v>1640.625</v>
      </c>
    </row>
    <row r="11" spans="1:6" ht="18" customHeight="1">
      <c r="A11" s="172"/>
      <c r="B11" s="60" t="s">
        <v>9</v>
      </c>
      <c r="C11" s="61"/>
      <c r="D11" s="213"/>
      <c r="E11" s="275"/>
      <c r="F11" s="285">
        <f>SUM(F9:F10)</f>
        <v>2031.25</v>
      </c>
    </row>
    <row r="12" spans="1:6" ht="18" customHeight="1">
      <c r="A12" s="199"/>
      <c r="B12" s="60"/>
      <c r="C12" s="44"/>
      <c r="D12" s="111"/>
      <c r="E12" s="276"/>
      <c r="F12" s="286"/>
    </row>
    <row r="13" spans="1:6" ht="34.700000000000003" customHeight="1">
      <c r="A13" s="156">
        <v>2</v>
      </c>
      <c r="B13" s="476" t="s">
        <v>0</v>
      </c>
      <c r="C13" s="476"/>
      <c r="D13" s="476"/>
      <c r="E13" s="476"/>
      <c r="F13" s="477"/>
    </row>
    <row r="14" spans="1:6" ht="18" customHeight="1">
      <c r="A14" s="200">
        <v>2.0099999999999998</v>
      </c>
      <c r="B14" s="2" t="s">
        <v>71</v>
      </c>
      <c r="C14" s="3" t="s">
        <v>1</v>
      </c>
      <c r="D14" s="214">
        <f>16*0.4</f>
        <v>6.4</v>
      </c>
      <c r="E14" s="132">
        <f>(F17+F21)/D14</f>
        <v>625</v>
      </c>
      <c r="F14" s="158">
        <f>E14*D14</f>
        <v>4000</v>
      </c>
    </row>
    <row r="15" spans="1:6" ht="18" customHeight="1">
      <c r="A15" s="198"/>
      <c r="B15" s="8" t="s">
        <v>2</v>
      </c>
      <c r="C15" s="9"/>
      <c r="D15" s="25"/>
      <c r="E15" s="131"/>
      <c r="F15" s="153"/>
    </row>
    <row r="16" spans="1:6" ht="18" customHeight="1">
      <c r="A16" s="198"/>
      <c r="B16" s="48" t="s">
        <v>3</v>
      </c>
      <c r="C16" s="9" t="s">
        <v>4</v>
      </c>
      <c r="D16" s="25">
        <f>D14/10</f>
        <v>0.64</v>
      </c>
      <c r="E16" s="131">
        <v>5500</v>
      </c>
      <c r="F16" s="153">
        <f>E16*D16</f>
        <v>3520</v>
      </c>
    </row>
    <row r="17" spans="1:6" ht="18" customHeight="1">
      <c r="A17" s="168"/>
      <c r="B17" s="60" t="s">
        <v>5</v>
      </c>
      <c r="C17" s="12"/>
      <c r="D17" s="33"/>
      <c r="E17" s="133"/>
      <c r="F17" s="160">
        <f>SUM(F16)</f>
        <v>3520</v>
      </c>
    </row>
    <row r="18" spans="1:6" ht="18" customHeight="1">
      <c r="A18" s="198"/>
      <c r="B18" s="48"/>
      <c r="C18" s="9"/>
      <c r="D18" s="25"/>
      <c r="E18" s="131"/>
      <c r="F18" s="153"/>
    </row>
    <row r="19" spans="1:6" ht="18" customHeight="1">
      <c r="A19" s="198"/>
      <c r="B19" s="8" t="s">
        <v>6</v>
      </c>
      <c r="C19" s="9"/>
      <c r="D19" s="25"/>
      <c r="E19" s="131"/>
      <c r="F19" s="153"/>
    </row>
    <row r="20" spans="1:6" ht="18" customHeight="1">
      <c r="A20" s="198"/>
      <c r="B20" s="13" t="s">
        <v>7</v>
      </c>
      <c r="C20" s="9" t="s">
        <v>8</v>
      </c>
      <c r="D20" s="25">
        <f>D14/60</f>
        <v>0.10666666666666667</v>
      </c>
      <c r="E20" s="131">
        <v>4500</v>
      </c>
      <c r="F20" s="153">
        <f>E20*D20</f>
        <v>480.00000000000006</v>
      </c>
    </row>
    <row r="21" spans="1:6" ht="18" customHeight="1">
      <c r="A21" s="172"/>
      <c r="B21" s="60" t="s">
        <v>9</v>
      </c>
      <c r="C21" s="61"/>
      <c r="D21" s="215"/>
      <c r="E21" s="275"/>
      <c r="F21" s="285">
        <f>SUM(F20)</f>
        <v>480.00000000000006</v>
      </c>
    </row>
    <row r="22" spans="1:6" ht="18" customHeight="1">
      <c r="A22" s="200">
        <v>2.02</v>
      </c>
      <c r="B22" s="2" t="s">
        <v>97</v>
      </c>
      <c r="C22" s="3" t="s">
        <v>1</v>
      </c>
      <c r="D22" s="214">
        <v>15</v>
      </c>
      <c r="E22" s="132">
        <f>(F29+F25)/D22</f>
        <v>958.33333333333337</v>
      </c>
      <c r="F22" s="158">
        <f>E22*D22</f>
        <v>14375</v>
      </c>
    </row>
    <row r="23" spans="1:6" ht="18" customHeight="1">
      <c r="A23" s="198"/>
      <c r="B23" s="8" t="s">
        <v>2</v>
      </c>
      <c r="C23" s="9"/>
      <c r="D23" s="25"/>
      <c r="E23" s="131"/>
      <c r="F23" s="153"/>
    </row>
    <row r="24" spans="1:6" ht="18" customHeight="1">
      <c r="A24" s="198"/>
      <c r="B24" s="48" t="s">
        <v>3</v>
      </c>
      <c r="C24" s="9" t="s">
        <v>4</v>
      </c>
      <c r="D24" s="25">
        <f>D22/10</f>
        <v>1.5</v>
      </c>
      <c r="E24" s="131">
        <v>8500</v>
      </c>
      <c r="F24" s="153">
        <f>E24*D24</f>
        <v>12750</v>
      </c>
    </row>
    <row r="25" spans="1:6" ht="18" customHeight="1">
      <c r="A25" s="168"/>
      <c r="B25" s="60" t="s">
        <v>5</v>
      </c>
      <c r="C25" s="12"/>
      <c r="D25" s="33"/>
      <c r="E25" s="133"/>
      <c r="F25" s="160">
        <f>SUM(F24)</f>
        <v>12750</v>
      </c>
    </row>
    <row r="26" spans="1:6" ht="18" customHeight="1">
      <c r="A26" s="198"/>
      <c r="B26" s="48"/>
      <c r="C26" s="9"/>
      <c r="D26" s="25"/>
      <c r="E26" s="131"/>
      <c r="F26" s="153"/>
    </row>
    <row r="27" spans="1:6" ht="18" customHeight="1">
      <c r="A27" s="198"/>
      <c r="B27" s="8" t="s">
        <v>6</v>
      </c>
      <c r="C27" s="9"/>
      <c r="D27" s="25"/>
      <c r="E27" s="131"/>
      <c r="F27" s="153"/>
    </row>
    <row r="28" spans="1:6" ht="18" customHeight="1">
      <c r="A28" s="198"/>
      <c r="B28" s="13" t="s">
        <v>7</v>
      </c>
      <c r="C28" s="9" t="s">
        <v>8</v>
      </c>
      <c r="D28" s="25">
        <f>D22/60</f>
        <v>0.25</v>
      </c>
      <c r="E28" s="131">
        <v>6500</v>
      </c>
      <c r="F28" s="153">
        <f>E28*D28</f>
        <v>1625</v>
      </c>
    </row>
    <row r="29" spans="1:6" ht="18" customHeight="1">
      <c r="A29" s="172"/>
      <c r="B29" s="60" t="s">
        <v>9</v>
      </c>
      <c r="C29" s="61"/>
      <c r="D29" s="215"/>
      <c r="E29" s="275"/>
      <c r="F29" s="285">
        <f>SUM(F28)</f>
        <v>1625</v>
      </c>
    </row>
    <row r="30" spans="1:6" ht="18" customHeight="1">
      <c r="A30" s="197">
        <v>2.0299999999999998</v>
      </c>
      <c r="B30" s="16" t="s">
        <v>96</v>
      </c>
      <c r="C30" s="35" t="s">
        <v>1</v>
      </c>
      <c r="D30" s="220">
        <f>(0.75*0.75)*2</f>
        <v>1.125</v>
      </c>
      <c r="E30" s="136">
        <f>(F33+F37)/D30</f>
        <v>958.33333333333337</v>
      </c>
      <c r="F30" s="151">
        <f>E30*D30</f>
        <v>1078.125</v>
      </c>
    </row>
    <row r="31" spans="1:6" ht="18" customHeight="1">
      <c r="A31" s="198"/>
      <c r="B31" s="8" t="s">
        <v>2</v>
      </c>
      <c r="C31" s="9"/>
      <c r="D31" s="25"/>
      <c r="E31" s="131"/>
      <c r="F31" s="153"/>
    </row>
    <row r="32" spans="1:6" ht="18" customHeight="1">
      <c r="A32" s="198"/>
      <c r="B32" s="48" t="s">
        <v>3</v>
      </c>
      <c r="C32" s="9" t="s">
        <v>4</v>
      </c>
      <c r="D32" s="25">
        <f>D30/10</f>
        <v>0.1125</v>
      </c>
      <c r="E32" s="131">
        <v>8500</v>
      </c>
      <c r="F32" s="153">
        <f>E32*D32</f>
        <v>956.25</v>
      </c>
    </row>
    <row r="33" spans="1:6" ht="18" customHeight="1">
      <c r="A33" s="168"/>
      <c r="B33" s="60" t="s">
        <v>5</v>
      </c>
      <c r="C33" s="12"/>
      <c r="D33" s="33"/>
      <c r="E33" s="133"/>
      <c r="F33" s="160">
        <f>SUM(F32)</f>
        <v>956.25</v>
      </c>
    </row>
    <row r="34" spans="1:6" ht="18" customHeight="1">
      <c r="A34" s="168"/>
      <c r="B34" s="60"/>
      <c r="C34" s="12"/>
      <c r="D34" s="33"/>
      <c r="E34" s="133"/>
      <c r="F34" s="160"/>
    </row>
    <row r="35" spans="1:6" ht="18" customHeight="1">
      <c r="A35" s="198"/>
      <c r="B35" s="8" t="s">
        <v>6</v>
      </c>
      <c r="C35" s="9"/>
      <c r="D35" s="25"/>
      <c r="E35" s="131"/>
      <c r="F35" s="153"/>
    </row>
    <row r="36" spans="1:6" ht="18" customHeight="1">
      <c r="A36" s="198"/>
      <c r="B36" s="13" t="s">
        <v>7</v>
      </c>
      <c r="C36" s="9" t="s">
        <v>8</v>
      </c>
      <c r="D36" s="25">
        <f>D30/60</f>
        <v>1.8749999999999999E-2</v>
      </c>
      <c r="E36" s="131">
        <v>6500</v>
      </c>
      <c r="F36" s="153">
        <f>E36*D36</f>
        <v>121.875</v>
      </c>
    </row>
    <row r="37" spans="1:6" ht="18" customHeight="1">
      <c r="A37" s="172"/>
      <c r="B37" s="60" t="s">
        <v>9</v>
      </c>
      <c r="C37" s="61"/>
      <c r="D37" s="215"/>
      <c r="E37" s="275"/>
      <c r="F37" s="285">
        <f>SUM(F36)</f>
        <v>121.875</v>
      </c>
    </row>
    <row r="38" spans="1:6" ht="18" customHeight="1">
      <c r="A38" s="172"/>
      <c r="B38" s="60"/>
      <c r="C38" s="61"/>
      <c r="D38" s="213"/>
      <c r="E38" s="275"/>
      <c r="F38" s="285"/>
    </row>
    <row r="39" spans="1:6" ht="18" customHeight="1">
      <c r="A39" s="161">
        <v>3</v>
      </c>
      <c r="B39" s="478" t="s">
        <v>77</v>
      </c>
      <c r="C39" s="478"/>
      <c r="D39" s="478"/>
      <c r="E39" s="478"/>
      <c r="F39" s="479"/>
    </row>
    <row r="40" spans="1:6" ht="18" customHeight="1">
      <c r="A40" s="197">
        <v>3.01</v>
      </c>
      <c r="B40" s="16" t="s">
        <v>71</v>
      </c>
      <c r="C40" s="3" t="s">
        <v>1</v>
      </c>
      <c r="D40" s="214">
        <f>16*0.4</f>
        <v>6.4</v>
      </c>
      <c r="E40" s="132">
        <f>(F47+F51+F57)/D40</f>
        <v>4699.963589743591</v>
      </c>
      <c r="F40" s="158">
        <f>E40*D40</f>
        <v>30079.766974358983</v>
      </c>
    </row>
    <row r="41" spans="1:6" ht="18" customHeight="1">
      <c r="A41" s="201"/>
      <c r="B41" s="19"/>
      <c r="C41" s="20" t="s">
        <v>10</v>
      </c>
      <c r="D41" s="223">
        <f>D40*0.05</f>
        <v>0.32000000000000006</v>
      </c>
      <c r="E41" s="134"/>
      <c r="F41" s="163"/>
    </row>
    <row r="42" spans="1:6" ht="18" customHeight="1">
      <c r="A42" s="202"/>
      <c r="B42" s="96" t="s">
        <v>2</v>
      </c>
      <c r="C42" s="23"/>
      <c r="D42" s="25"/>
      <c r="E42" s="131"/>
      <c r="F42" s="287"/>
    </row>
    <row r="43" spans="1:6" ht="18" customHeight="1">
      <c r="A43" s="202"/>
      <c r="B43" s="97" t="s">
        <v>11</v>
      </c>
      <c r="C43" s="23" t="s">
        <v>12</v>
      </c>
      <c r="D43" s="25">
        <f>D41*(1/13)*1.57*(1440/50)</f>
        <v>1.1130092307692312</v>
      </c>
      <c r="E43" s="131">
        <v>11200</v>
      </c>
      <c r="F43" s="287">
        <f>E43*D43</f>
        <v>12465.70338461539</v>
      </c>
    </row>
    <row r="44" spans="1:6" ht="18" customHeight="1">
      <c r="A44" s="202"/>
      <c r="B44" s="97" t="s">
        <v>13</v>
      </c>
      <c r="C44" s="23" t="s">
        <v>10</v>
      </c>
      <c r="D44" s="25">
        <f>D41*(4/13)*1.57</f>
        <v>0.15458461538461543</v>
      </c>
      <c r="E44" s="131">
        <v>30500</v>
      </c>
      <c r="F44" s="287">
        <f t="shared" ref="F44:F46" si="0">E44*D44</f>
        <v>4714.8307692307708</v>
      </c>
    </row>
    <row r="45" spans="1:6" ht="18" customHeight="1">
      <c r="A45" s="202"/>
      <c r="B45" s="97" t="s">
        <v>14</v>
      </c>
      <c r="C45" s="23" t="s">
        <v>10</v>
      </c>
      <c r="D45" s="25">
        <f>D41*(8/13)*1.57</f>
        <v>0.30916923076923086</v>
      </c>
      <c r="E45" s="131">
        <v>32300</v>
      </c>
      <c r="F45" s="287">
        <f t="shared" si="0"/>
        <v>9986.1661538461576</v>
      </c>
    </row>
    <row r="46" spans="1:6" ht="18" customHeight="1">
      <c r="A46" s="202"/>
      <c r="B46" s="97" t="s">
        <v>15</v>
      </c>
      <c r="C46" s="23" t="s">
        <v>16</v>
      </c>
      <c r="D46" s="25">
        <f>D50*10</f>
        <v>0.53333333333333344</v>
      </c>
      <c r="E46" s="131">
        <v>2200</v>
      </c>
      <c r="F46" s="287">
        <f t="shared" si="0"/>
        <v>1173.3333333333335</v>
      </c>
    </row>
    <row r="47" spans="1:6" ht="18" customHeight="1">
      <c r="A47" s="166"/>
      <c r="B47" s="96" t="s">
        <v>18</v>
      </c>
      <c r="C47" s="28"/>
      <c r="D47" s="33"/>
      <c r="E47" s="133"/>
      <c r="F47" s="288">
        <f>SUM(F43:F46)</f>
        <v>28340.033641025653</v>
      </c>
    </row>
    <row r="48" spans="1:6" ht="18" customHeight="1">
      <c r="A48" s="202"/>
      <c r="B48" s="97"/>
      <c r="C48" s="23"/>
      <c r="D48" s="25"/>
      <c r="E48" s="131"/>
      <c r="F48" s="287"/>
    </row>
    <row r="49" spans="1:6" ht="18" customHeight="1">
      <c r="A49" s="202"/>
      <c r="B49" s="96" t="s">
        <v>19</v>
      </c>
      <c r="C49" s="23"/>
      <c r="D49" s="25"/>
      <c r="E49" s="131"/>
      <c r="F49" s="287"/>
    </row>
    <row r="50" spans="1:6" ht="18" customHeight="1">
      <c r="A50" s="202"/>
      <c r="B50" s="97" t="s">
        <v>20</v>
      </c>
      <c r="C50" s="23" t="s">
        <v>21</v>
      </c>
      <c r="D50" s="25">
        <f>D41/6</f>
        <v>5.3333333333333344E-2</v>
      </c>
      <c r="E50" s="131">
        <v>5050</v>
      </c>
      <c r="F50" s="287">
        <f>E50*D50</f>
        <v>269.33333333333337</v>
      </c>
    </row>
    <row r="51" spans="1:6" ht="18" customHeight="1">
      <c r="A51" s="166"/>
      <c r="B51" s="96" t="s">
        <v>23</v>
      </c>
      <c r="C51" s="28"/>
      <c r="D51" s="33"/>
      <c r="E51" s="133"/>
      <c r="F51" s="288">
        <f>SUM(F50)</f>
        <v>269.33333333333337</v>
      </c>
    </row>
    <row r="52" spans="1:6" ht="18" customHeight="1">
      <c r="A52" s="202"/>
      <c r="B52" s="97"/>
      <c r="C52" s="23"/>
      <c r="D52" s="25"/>
      <c r="E52" s="131"/>
      <c r="F52" s="287"/>
    </row>
    <row r="53" spans="1:6" ht="18" customHeight="1">
      <c r="A53" s="202"/>
      <c r="B53" s="96" t="s">
        <v>6</v>
      </c>
      <c r="C53" s="23"/>
      <c r="D53" s="25"/>
      <c r="E53" s="131"/>
      <c r="F53" s="287"/>
    </row>
    <row r="54" spans="1:6" ht="18" customHeight="1">
      <c r="A54" s="202"/>
      <c r="B54" s="97" t="s">
        <v>24</v>
      </c>
      <c r="C54" s="23" t="s">
        <v>21</v>
      </c>
      <c r="D54" s="25">
        <f>(D41/6)*2</f>
        <v>0.10666666666666669</v>
      </c>
      <c r="E54" s="131">
        <v>1500</v>
      </c>
      <c r="F54" s="287">
        <f>E54*D54</f>
        <v>160.00000000000003</v>
      </c>
    </row>
    <row r="55" spans="1:6" ht="18" customHeight="1">
      <c r="A55" s="202"/>
      <c r="B55" s="97" t="s">
        <v>25</v>
      </c>
      <c r="C55" s="23" t="s">
        <v>21</v>
      </c>
      <c r="D55" s="25">
        <f>(D41/6)*18</f>
        <v>0.96000000000000019</v>
      </c>
      <c r="E55" s="131">
        <v>1280</v>
      </c>
      <c r="F55" s="287">
        <f t="shared" ref="F55:F56" si="1">E55*D55</f>
        <v>1228.8000000000002</v>
      </c>
    </row>
    <row r="56" spans="1:6" ht="18" customHeight="1">
      <c r="A56" s="202"/>
      <c r="B56" s="97" t="s">
        <v>26</v>
      </c>
      <c r="C56" s="23" t="s">
        <v>21</v>
      </c>
      <c r="D56" s="25">
        <f>D50</f>
        <v>5.3333333333333344E-2</v>
      </c>
      <c r="E56" s="131">
        <v>1530</v>
      </c>
      <c r="F56" s="287">
        <f t="shared" si="1"/>
        <v>81.600000000000023</v>
      </c>
    </row>
    <row r="57" spans="1:6" ht="18" customHeight="1">
      <c r="A57" s="166"/>
      <c r="B57" s="96" t="s">
        <v>27</v>
      </c>
      <c r="C57" s="28"/>
      <c r="D57" s="33"/>
      <c r="E57" s="133"/>
      <c r="F57" s="288">
        <f>SUM(F54:F56)</f>
        <v>1470.4</v>
      </c>
    </row>
    <row r="58" spans="1:6" ht="18" customHeight="1">
      <c r="A58" s="197">
        <v>3.02</v>
      </c>
      <c r="B58" s="16" t="s">
        <v>98</v>
      </c>
      <c r="C58" s="3" t="s">
        <v>1</v>
      </c>
      <c r="D58" s="214">
        <f>(0.75*0.75)*2</f>
        <v>1.125</v>
      </c>
      <c r="E58" s="132">
        <f>(F65+F69+F75)/D58</f>
        <v>4619.1302564102562</v>
      </c>
      <c r="F58" s="158">
        <f>E58*D58</f>
        <v>5196.5215384615385</v>
      </c>
    </row>
    <row r="59" spans="1:6" ht="18" customHeight="1">
      <c r="A59" s="201"/>
      <c r="B59" s="19"/>
      <c r="C59" s="20" t="s">
        <v>10</v>
      </c>
      <c r="D59" s="223">
        <f>D58*0.05</f>
        <v>5.6250000000000001E-2</v>
      </c>
      <c r="E59" s="134"/>
      <c r="F59" s="163"/>
    </row>
    <row r="60" spans="1:6" ht="18" customHeight="1">
      <c r="A60" s="202"/>
      <c r="B60" s="96" t="s">
        <v>2</v>
      </c>
      <c r="C60" s="23"/>
      <c r="D60" s="25"/>
      <c r="E60" s="131"/>
      <c r="F60" s="287"/>
    </row>
    <row r="61" spans="1:6" ht="18" customHeight="1">
      <c r="A61" s="202"/>
      <c r="B61" s="97" t="s">
        <v>11</v>
      </c>
      <c r="C61" s="23" t="s">
        <v>12</v>
      </c>
      <c r="D61" s="25">
        <f>D59*(1/13)*1.57*(1440/50)</f>
        <v>0.19564615384615386</v>
      </c>
      <c r="E61" s="131">
        <v>11200</v>
      </c>
      <c r="F61" s="287">
        <f>E61*D61</f>
        <v>2191.2369230769232</v>
      </c>
    </row>
    <row r="62" spans="1:6" ht="18" customHeight="1">
      <c r="A62" s="202"/>
      <c r="B62" s="97" t="s">
        <v>13</v>
      </c>
      <c r="C62" s="23" t="s">
        <v>10</v>
      </c>
      <c r="D62" s="25">
        <f>D59*(4/13)*1.57</f>
        <v>2.7173076923076925E-2</v>
      </c>
      <c r="E62" s="131">
        <v>30500</v>
      </c>
      <c r="F62" s="287">
        <f t="shared" ref="F62:F64" si="2">E62*D62</f>
        <v>828.77884615384619</v>
      </c>
    </row>
    <row r="63" spans="1:6" ht="18" customHeight="1">
      <c r="A63" s="202"/>
      <c r="B63" s="97" t="s">
        <v>14</v>
      </c>
      <c r="C63" s="23" t="s">
        <v>10</v>
      </c>
      <c r="D63" s="25">
        <f>D59*(8/13)*1.57</f>
        <v>5.434615384615385E-2</v>
      </c>
      <c r="E63" s="131">
        <v>32300</v>
      </c>
      <c r="F63" s="287">
        <f t="shared" si="2"/>
        <v>1755.3807692307694</v>
      </c>
    </row>
    <row r="64" spans="1:6" ht="18" customHeight="1">
      <c r="A64" s="202"/>
      <c r="B64" s="97" t="s">
        <v>15</v>
      </c>
      <c r="C64" s="23" t="s">
        <v>16</v>
      </c>
      <c r="D64" s="25">
        <f>D68*10</f>
        <v>9.375E-2</v>
      </c>
      <c r="E64" s="131">
        <v>2200</v>
      </c>
      <c r="F64" s="287">
        <f t="shared" si="2"/>
        <v>206.25</v>
      </c>
    </row>
    <row r="65" spans="1:6" ht="18" customHeight="1">
      <c r="A65" s="166"/>
      <c r="B65" s="96" t="s">
        <v>18</v>
      </c>
      <c r="C65" s="28"/>
      <c r="D65" s="33"/>
      <c r="E65" s="133"/>
      <c r="F65" s="288">
        <f>SUM(F61:F64)</f>
        <v>4981.6465384615385</v>
      </c>
    </row>
    <row r="66" spans="1:6" ht="18" customHeight="1">
      <c r="A66" s="202"/>
      <c r="B66" s="97"/>
      <c r="C66" s="23"/>
      <c r="D66" s="25"/>
      <c r="E66" s="131"/>
      <c r="F66" s="287"/>
    </row>
    <row r="67" spans="1:6" ht="18" customHeight="1">
      <c r="A67" s="202"/>
      <c r="B67" s="96" t="s">
        <v>19</v>
      </c>
      <c r="C67" s="23"/>
      <c r="D67" s="25"/>
      <c r="E67" s="131"/>
      <c r="F67" s="287"/>
    </row>
    <row r="68" spans="1:6" ht="18" customHeight="1">
      <c r="A68" s="202"/>
      <c r="B68" s="97" t="s">
        <v>20</v>
      </c>
      <c r="C68" s="23" t="s">
        <v>21</v>
      </c>
      <c r="D68" s="25">
        <f>D59/6</f>
        <v>9.3749999999999997E-3</v>
      </c>
      <c r="E68" s="131">
        <v>5050</v>
      </c>
      <c r="F68" s="287">
        <f>E68*D68</f>
        <v>47.34375</v>
      </c>
    </row>
    <row r="69" spans="1:6" ht="18" customHeight="1">
      <c r="A69" s="166"/>
      <c r="B69" s="96" t="s">
        <v>23</v>
      </c>
      <c r="C69" s="28"/>
      <c r="D69" s="33"/>
      <c r="E69" s="133"/>
      <c r="F69" s="288">
        <f>SUM(F68)</f>
        <v>47.34375</v>
      </c>
    </row>
    <row r="70" spans="1:6" ht="18" customHeight="1">
      <c r="A70" s="202"/>
      <c r="B70" s="97"/>
      <c r="C70" s="23"/>
      <c r="D70" s="25"/>
      <c r="E70" s="131"/>
      <c r="F70" s="287"/>
    </row>
    <row r="71" spans="1:6" ht="18" customHeight="1">
      <c r="A71" s="202"/>
      <c r="B71" s="96" t="s">
        <v>6</v>
      </c>
      <c r="C71" s="23"/>
      <c r="D71" s="25"/>
      <c r="E71" s="131"/>
      <c r="F71" s="287"/>
    </row>
    <row r="72" spans="1:6" ht="18" customHeight="1">
      <c r="A72" s="202"/>
      <c r="B72" s="97" t="s">
        <v>24</v>
      </c>
      <c r="C72" s="23" t="s">
        <v>21</v>
      </c>
      <c r="D72" s="25">
        <f>(D59/6)*2</f>
        <v>1.8749999999999999E-2</v>
      </c>
      <c r="E72" s="131">
        <v>1500</v>
      </c>
      <c r="F72" s="287">
        <f>E72*D72</f>
        <v>28.125</v>
      </c>
    </row>
    <row r="73" spans="1:6" ht="18" customHeight="1">
      <c r="A73" s="202"/>
      <c r="B73" s="97" t="s">
        <v>25</v>
      </c>
      <c r="C73" s="23" t="s">
        <v>21</v>
      </c>
      <c r="D73" s="25">
        <f>(D59/6)*18</f>
        <v>0.16874999999999998</v>
      </c>
      <c r="E73" s="131">
        <v>780</v>
      </c>
      <c r="F73" s="287">
        <f t="shared" ref="F73:F74" si="3">E73*D73</f>
        <v>131.625</v>
      </c>
    </row>
    <row r="74" spans="1:6" ht="18" customHeight="1">
      <c r="A74" s="202"/>
      <c r="B74" s="97" t="s">
        <v>26</v>
      </c>
      <c r="C74" s="23" t="s">
        <v>21</v>
      </c>
      <c r="D74" s="25">
        <f>D68</f>
        <v>9.3749999999999997E-3</v>
      </c>
      <c r="E74" s="131">
        <v>830</v>
      </c>
      <c r="F74" s="287">
        <f t="shared" si="3"/>
        <v>7.78125</v>
      </c>
    </row>
    <row r="75" spans="1:6" ht="18" customHeight="1">
      <c r="A75" s="166"/>
      <c r="B75" s="96" t="s">
        <v>27</v>
      </c>
      <c r="C75" s="28"/>
      <c r="D75" s="33"/>
      <c r="E75" s="133"/>
      <c r="F75" s="288">
        <f>SUM(F72:F74)</f>
        <v>167.53125</v>
      </c>
    </row>
    <row r="76" spans="1:6" ht="18" customHeight="1">
      <c r="A76" s="166"/>
      <c r="B76" s="96"/>
      <c r="C76" s="28"/>
      <c r="D76" s="33"/>
      <c r="E76" s="133"/>
      <c r="F76" s="288"/>
    </row>
    <row r="77" spans="1:6" ht="18" customHeight="1">
      <c r="A77" s="166">
        <v>4</v>
      </c>
      <c r="B77" s="480" t="s">
        <v>82</v>
      </c>
      <c r="C77" s="480"/>
      <c r="D77" s="480"/>
      <c r="E77" s="480"/>
      <c r="F77" s="481"/>
    </row>
    <row r="78" spans="1:6" ht="18" customHeight="1">
      <c r="A78" s="197">
        <v>4.01</v>
      </c>
      <c r="B78" s="98" t="s">
        <v>83</v>
      </c>
      <c r="C78" s="69" t="s">
        <v>50</v>
      </c>
      <c r="D78" s="220">
        <f>((0.75*0.2)*4)*2</f>
        <v>1.2000000000000002</v>
      </c>
      <c r="E78" s="136">
        <f>(F88+F83)/D78</f>
        <v>10724.305555555555</v>
      </c>
      <c r="F78" s="289">
        <f>E78*D78</f>
        <v>12869.166666666668</v>
      </c>
    </row>
    <row r="79" spans="1:6" ht="18" customHeight="1">
      <c r="A79" s="202"/>
      <c r="B79" s="96" t="s">
        <v>2</v>
      </c>
      <c r="C79" s="23"/>
      <c r="D79" s="109"/>
      <c r="E79" s="131"/>
      <c r="F79" s="287"/>
    </row>
    <row r="80" spans="1:6" ht="18" customHeight="1">
      <c r="A80" s="202"/>
      <c r="B80" s="97" t="s">
        <v>84</v>
      </c>
      <c r="C80" s="23" t="s">
        <v>85</v>
      </c>
      <c r="D80" s="25">
        <f>D78/(2.4*1.2)/2</f>
        <v>0.20833333333333337</v>
      </c>
      <c r="E80" s="131">
        <v>3500</v>
      </c>
      <c r="F80" s="287">
        <f>E80*D80</f>
        <v>729.16666666666674</v>
      </c>
    </row>
    <row r="81" spans="1:6" ht="18" customHeight="1">
      <c r="A81" s="202"/>
      <c r="B81" s="97" t="s">
        <v>86</v>
      </c>
      <c r="C81" s="23" t="s">
        <v>44</v>
      </c>
      <c r="D81" s="25">
        <f>D78*1.5</f>
        <v>1.8000000000000003</v>
      </c>
      <c r="E81" s="131">
        <v>5000</v>
      </c>
      <c r="F81" s="287">
        <f t="shared" ref="F81:F82" si="4">E81*D81</f>
        <v>9000.0000000000018</v>
      </c>
    </row>
    <row r="82" spans="1:6" ht="18" customHeight="1">
      <c r="A82" s="198"/>
      <c r="B82" s="97" t="s">
        <v>87</v>
      </c>
      <c r="C82" s="23" t="s">
        <v>88</v>
      </c>
      <c r="D82" s="25">
        <f>D78*0.25</f>
        <v>0.30000000000000004</v>
      </c>
      <c r="E82" s="131">
        <v>2200</v>
      </c>
      <c r="F82" s="287">
        <f t="shared" si="4"/>
        <v>660.00000000000011</v>
      </c>
    </row>
    <row r="83" spans="1:6" ht="18" customHeight="1">
      <c r="A83" s="198"/>
      <c r="B83" s="96" t="s">
        <v>89</v>
      </c>
      <c r="C83" s="28"/>
      <c r="D83" s="33"/>
      <c r="E83" s="133"/>
      <c r="F83" s="288">
        <f>SUM(F80:F82)</f>
        <v>10389.166666666668</v>
      </c>
    </row>
    <row r="84" spans="1:6" ht="18" customHeight="1">
      <c r="A84" s="198"/>
      <c r="B84" s="97"/>
      <c r="C84" s="23"/>
      <c r="D84" s="25"/>
      <c r="E84" s="131"/>
      <c r="F84" s="287"/>
    </row>
    <row r="85" spans="1:6" ht="18" customHeight="1">
      <c r="A85" s="199"/>
      <c r="B85" s="96" t="s">
        <v>6</v>
      </c>
      <c r="C85" s="23"/>
      <c r="D85" s="25"/>
      <c r="E85" s="131"/>
      <c r="F85" s="287"/>
    </row>
    <row r="86" spans="1:6" ht="18" customHeight="1">
      <c r="A86" s="199"/>
      <c r="B86" s="97" t="s">
        <v>90</v>
      </c>
      <c r="C86" s="23" t="s">
        <v>21</v>
      </c>
      <c r="D86" s="25">
        <f>D78/15</f>
        <v>8.0000000000000016E-2</v>
      </c>
      <c r="E86" s="131">
        <v>15000</v>
      </c>
      <c r="F86" s="287">
        <f>E86*D86</f>
        <v>1200.0000000000002</v>
      </c>
    </row>
    <row r="87" spans="1:6" ht="18" customHeight="1">
      <c r="A87" s="199"/>
      <c r="B87" s="97" t="s">
        <v>25</v>
      </c>
      <c r="C87" s="23" t="s">
        <v>21</v>
      </c>
      <c r="D87" s="25">
        <f>D86*2</f>
        <v>0.16000000000000003</v>
      </c>
      <c r="E87" s="131">
        <v>8000</v>
      </c>
      <c r="F87" s="287">
        <f>E87*D87</f>
        <v>1280.0000000000002</v>
      </c>
    </row>
    <row r="88" spans="1:6" ht="18" customHeight="1">
      <c r="A88" s="202"/>
      <c r="B88" s="96" t="s">
        <v>91</v>
      </c>
      <c r="C88" s="28"/>
      <c r="D88" s="110"/>
      <c r="E88" s="133"/>
      <c r="F88" s="288">
        <f>SUM(F86:F87)</f>
        <v>2480.0000000000005</v>
      </c>
    </row>
    <row r="89" spans="1:6" ht="18" customHeight="1">
      <c r="A89" s="197">
        <v>4.0199999999999996</v>
      </c>
      <c r="B89" s="98" t="s">
        <v>118</v>
      </c>
      <c r="C89" s="69" t="s">
        <v>50</v>
      </c>
      <c r="D89" s="220">
        <f>((1.05*0.3)*4)*2</f>
        <v>2.52</v>
      </c>
      <c r="E89" s="136">
        <f>(F99+F94)/D89</f>
        <v>7817.3611111111113</v>
      </c>
      <c r="F89" s="289">
        <f>E89*D89</f>
        <v>19699.75</v>
      </c>
    </row>
    <row r="90" spans="1:6" ht="18" customHeight="1">
      <c r="A90" s="202"/>
      <c r="B90" s="96" t="s">
        <v>2</v>
      </c>
      <c r="C90" s="23"/>
      <c r="D90" s="109"/>
      <c r="E90" s="131"/>
      <c r="F90" s="287"/>
    </row>
    <row r="91" spans="1:6" ht="18" customHeight="1">
      <c r="A91" s="202"/>
      <c r="B91" s="97" t="s">
        <v>84</v>
      </c>
      <c r="C91" s="23" t="s">
        <v>85</v>
      </c>
      <c r="D91" s="25">
        <f>D89/(2.4*1.2)/2</f>
        <v>0.4375</v>
      </c>
      <c r="E91" s="131">
        <v>2500</v>
      </c>
      <c r="F91" s="287">
        <f>E91*D91</f>
        <v>1093.75</v>
      </c>
    </row>
    <row r="92" spans="1:6" ht="18" customHeight="1">
      <c r="A92" s="202"/>
      <c r="B92" s="97" t="s">
        <v>86</v>
      </c>
      <c r="C92" s="23" t="s">
        <v>44</v>
      </c>
      <c r="D92" s="25">
        <f>D89*1.5</f>
        <v>3.7800000000000002</v>
      </c>
      <c r="E92" s="131">
        <v>3000</v>
      </c>
      <c r="F92" s="287">
        <f t="shared" ref="F92:F93" si="5">E92*D92</f>
        <v>11340</v>
      </c>
    </row>
    <row r="93" spans="1:6" ht="18" customHeight="1">
      <c r="A93" s="198"/>
      <c r="B93" s="97" t="s">
        <v>87</v>
      </c>
      <c r="C93" s="23" t="s">
        <v>88</v>
      </c>
      <c r="D93" s="25">
        <f>D89*0.25</f>
        <v>0.63</v>
      </c>
      <c r="E93" s="131">
        <v>2200</v>
      </c>
      <c r="F93" s="287">
        <f t="shared" si="5"/>
        <v>1386</v>
      </c>
    </row>
    <row r="94" spans="1:6" ht="18" customHeight="1">
      <c r="A94" s="198"/>
      <c r="B94" s="96" t="s">
        <v>89</v>
      </c>
      <c r="C94" s="28"/>
      <c r="D94" s="33"/>
      <c r="E94" s="133"/>
      <c r="F94" s="288">
        <f>SUM(F91:F93)</f>
        <v>13819.75</v>
      </c>
    </row>
    <row r="95" spans="1:6" ht="18" customHeight="1">
      <c r="A95" s="198"/>
      <c r="B95" s="97"/>
      <c r="C95" s="23"/>
      <c r="D95" s="25"/>
      <c r="E95" s="131"/>
      <c r="F95" s="287"/>
    </row>
    <row r="96" spans="1:6" ht="18" customHeight="1">
      <c r="A96" s="199"/>
      <c r="B96" s="96" t="s">
        <v>6</v>
      </c>
      <c r="C96" s="23"/>
      <c r="D96" s="25"/>
      <c r="E96" s="131"/>
      <c r="F96" s="287"/>
    </row>
    <row r="97" spans="1:6" ht="18" customHeight="1">
      <c r="A97" s="199"/>
      <c r="B97" s="97" t="s">
        <v>90</v>
      </c>
      <c r="C97" s="23" t="s">
        <v>21</v>
      </c>
      <c r="D97" s="25">
        <f>D89/15</f>
        <v>0.16800000000000001</v>
      </c>
      <c r="E97" s="131">
        <v>15000</v>
      </c>
      <c r="F97" s="287">
        <f>E97*D97</f>
        <v>2520</v>
      </c>
    </row>
    <row r="98" spans="1:6" ht="18" customHeight="1">
      <c r="A98" s="199"/>
      <c r="B98" s="97" t="s">
        <v>25</v>
      </c>
      <c r="C98" s="23" t="s">
        <v>21</v>
      </c>
      <c r="D98" s="25">
        <f>D97*2</f>
        <v>0.33600000000000002</v>
      </c>
      <c r="E98" s="131">
        <v>10000</v>
      </c>
      <c r="F98" s="287">
        <f>E98*D98</f>
        <v>3360</v>
      </c>
    </row>
    <row r="99" spans="1:6" ht="18" customHeight="1">
      <c r="A99" s="202"/>
      <c r="B99" s="96" t="s">
        <v>91</v>
      </c>
      <c r="C99" s="28"/>
      <c r="D99" s="110"/>
      <c r="E99" s="133"/>
      <c r="F99" s="288">
        <f>SUM(F97:F98)</f>
        <v>5880</v>
      </c>
    </row>
    <row r="100" spans="1:6" ht="18" customHeight="1">
      <c r="A100" s="197">
        <v>4.03</v>
      </c>
      <c r="B100" s="98" t="s">
        <v>95</v>
      </c>
      <c r="C100" s="69" t="s">
        <v>36</v>
      </c>
      <c r="D100" s="220">
        <f>((3.1*0.3)*4)*2</f>
        <v>7.4399999999999995</v>
      </c>
      <c r="E100" s="136">
        <f>(F110+F105)/D100</f>
        <v>11164.583333333334</v>
      </c>
      <c r="F100" s="289">
        <f>E100*D100</f>
        <v>83064.5</v>
      </c>
    </row>
    <row r="101" spans="1:6" ht="18" customHeight="1">
      <c r="A101" s="202"/>
      <c r="B101" s="96" t="s">
        <v>2</v>
      </c>
      <c r="C101" s="23"/>
      <c r="D101" s="109"/>
      <c r="E101" s="131"/>
      <c r="F101" s="287"/>
    </row>
    <row r="102" spans="1:6" ht="18" customHeight="1">
      <c r="A102" s="202"/>
      <c r="B102" s="97" t="s">
        <v>84</v>
      </c>
      <c r="C102" s="23" t="s">
        <v>85</v>
      </c>
      <c r="D102" s="25">
        <f>D100/(2.4*1.2)/2</f>
        <v>1.2916666666666665</v>
      </c>
      <c r="E102" s="116">
        <v>4500</v>
      </c>
      <c r="F102" s="287">
        <f>E102*D102</f>
        <v>5812.4999999999991</v>
      </c>
    </row>
    <row r="103" spans="1:6" ht="18" customHeight="1">
      <c r="A103" s="202"/>
      <c r="B103" s="97" t="s">
        <v>86</v>
      </c>
      <c r="C103" s="23" t="s">
        <v>44</v>
      </c>
      <c r="D103" s="25">
        <f>D100*1.5</f>
        <v>11.16</v>
      </c>
      <c r="E103" s="116">
        <v>5000</v>
      </c>
      <c r="F103" s="287">
        <f t="shared" ref="F103:F104" si="6">E103*D103</f>
        <v>55800</v>
      </c>
    </row>
    <row r="104" spans="1:6" ht="18" customHeight="1">
      <c r="A104" s="198"/>
      <c r="B104" s="97" t="s">
        <v>87</v>
      </c>
      <c r="C104" s="23" t="s">
        <v>88</v>
      </c>
      <c r="D104" s="25">
        <f>D100*0.25</f>
        <v>1.8599999999999999</v>
      </c>
      <c r="E104" s="116">
        <v>2200</v>
      </c>
      <c r="F104" s="287">
        <f t="shared" si="6"/>
        <v>4091.9999999999995</v>
      </c>
    </row>
    <row r="105" spans="1:6" ht="18" customHeight="1">
      <c r="A105" s="198"/>
      <c r="B105" s="96" t="s">
        <v>89</v>
      </c>
      <c r="C105" s="28"/>
      <c r="D105" s="33"/>
      <c r="E105" s="119"/>
      <c r="F105" s="288">
        <f>SUM(F102:F104)</f>
        <v>65704.5</v>
      </c>
    </row>
    <row r="106" spans="1:6" ht="18" customHeight="1">
      <c r="A106" s="198"/>
      <c r="B106" s="97"/>
      <c r="C106" s="23"/>
      <c r="D106" s="25"/>
      <c r="E106" s="116"/>
      <c r="F106" s="287"/>
    </row>
    <row r="107" spans="1:6" ht="18" customHeight="1">
      <c r="A107" s="199"/>
      <c r="B107" s="96" t="s">
        <v>6</v>
      </c>
      <c r="C107" s="23"/>
      <c r="D107" s="25"/>
      <c r="E107" s="116"/>
      <c r="F107" s="287"/>
    </row>
    <row r="108" spans="1:6" ht="18" customHeight="1">
      <c r="A108" s="199"/>
      <c r="B108" s="97" t="s">
        <v>90</v>
      </c>
      <c r="C108" s="23" t="s">
        <v>21</v>
      </c>
      <c r="D108" s="25">
        <f>D100/15</f>
        <v>0.49599999999999994</v>
      </c>
      <c r="E108" s="116">
        <v>15000</v>
      </c>
      <c r="F108" s="287">
        <f>E108*D108</f>
        <v>7439.9999999999991</v>
      </c>
    </row>
    <row r="109" spans="1:6" ht="18" customHeight="1">
      <c r="A109" s="199"/>
      <c r="B109" s="97" t="s">
        <v>25</v>
      </c>
      <c r="C109" s="23" t="s">
        <v>21</v>
      </c>
      <c r="D109" s="25">
        <f>D108*2</f>
        <v>0.99199999999999988</v>
      </c>
      <c r="E109" s="131">
        <v>10000</v>
      </c>
      <c r="F109" s="287">
        <f>E109*D109</f>
        <v>9919.9999999999982</v>
      </c>
    </row>
    <row r="110" spans="1:6" ht="18" customHeight="1">
      <c r="A110" s="202"/>
      <c r="B110" s="11" t="s">
        <v>9</v>
      </c>
      <c r="C110" s="28"/>
      <c r="D110" s="110"/>
      <c r="E110" s="133"/>
      <c r="F110" s="288">
        <f>SUM(F108:F109)</f>
        <v>17359.999999999996</v>
      </c>
    </row>
    <row r="111" spans="1:6" ht="18" customHeight="1">
      <c r="A111" s="202"/>
      <c r="B111" s="11"/>
      <c r="C111" s="28"/>
      <c r="D111" s="110"/>
      <c r="E111" s="133"/>
      <c r="F111" s="288"/>
    </row>
    <row r="112" spans="1:6" ht="18" customHeight="1">
      <c r="A112" s="203">
        <v>5</v>
      </c>
      <c r="B112" s="99" t="s">
        <v>105</v>
      </c>
      <c r="C112" s="69" t="s">
        <v>88</v>
      </c>
      <c r="D112" s="220">
        <v>72.268000000000001</v>
      </c>
      <c r="E112" s="136">
        <f>(F116+F122)/D112</f>
        <v>6375.8333333333339</v>
      </c>
      <c r="F112" s="289">
        <f>E112*D112</f>
        <v>460768.72333333339</v>
      </c>
    </row>
    <row r="113" spans="1:6" ht="18" customHeight="1">
      <c r="A113" s="202"/>
      <c r="B113" s="96" t="s">
        <v>2</v>
      </c>
      <c r="C113" s="23"/>
      <c r="D113" s="109"/>
      <c r="E113" s="131"/>
      <c r="F113" s="287"/>
    </row>
    <row r="114" spans="1:6" ht="18" customHeight="1">
      <c r="A114" s="202"/>
      <c r="B114" s="97" t="s">
        <v>106</v>
      </c>
      <c r="C114" s="23" t="s">
        <v>88</v>
      </c>
      <c r="D114" s="25">
        <f>D112*1.1</f>
        <v>79.494800000000012</v>
      </c>
      <c r="E114" s="131">
        <v>5050</v>
      </c>
      <c r="F114" s="287">
        <f>E114*D114</f>
        <v>401448.74000000005</v>
      </c>
    </row>
    <row r="115" spans="1:6" ht="18" customHeight="1">
      <c r="A115" s="202"/>
      <c r="B115" s="97" t="s">
        <v>107</v>
      </c>
      <c r="C115" s="23" t="s">
        <v>88</v>
      </c>
      <c r="D115" s="25">
        <f>D112*2.5%</f>
        <v>1.8067000000000002</v>
      </c>
      <c r="E115" s="131">
        <v>3500</v>
      </c>
      <c r="F115" s="287">
        <f>E115*D115</f>
        <v>6323.4500000000007</v>
      </c>
    </row>
    <row r="116" spans="1:6" ht="18" customHeight="1">
      <c r="A116" s="202"/>
      <c r="B116" s="97"/>
      <c r="C116" s="23"/>
      <c r="D116" s="25"/>
      <c r="E116" s="131"/>
      <c r="F116" s="288">
        <f>SUM(F114:F115)</f>
        <v>407772.19000000006</v>
      </c>
    </row>
    <row r="117" spans="1:6" ht="18" customHeight="1">
      <c r="A117" s="166"/>
      <c r="B117" s="96" t="s">
        <v>108</v>
      </c>
      <c r="C117" s="28"/>
      <c r="D117" s="33"/>
      <c r="E117" s="133"/>
      <c r="F117" s="288"/>
    </row>
    <row r="118" spans="1:6" ht="18" customHeight="1">
      <c r="A118" s="202"/>
      <c r="B118" s="97"/>
      <c r="C118" s="23"/>
      <c r="D118" s="25"/>
      <c r="E118" s="131"/>
      <c r="F118" s="287"/>
    </row>
    <row r="119" spans="1:6" ht="18" customHeight="1">
      <c r="A119" s="202"/>
      <c r="B119" s="96" t="s">
        <v>6</v>
      </c>
      <c r="C119" s="23"/>
      <c r="D119" s="25"/>
      <c r="E119" s="131"/>
      <c r="F119" s="287"/>
    </row>
    <row r="120" spans="1:6" ht="18" customHeight="1">
      <c r="A120" s="202"/>
      <c r="B120" s="97" t="s">
        <v>109</v>
      </c>
      <c r="C120" s="23" t="s">
        <v>8</v>
      </c>
      <c r="D120" s="25">
        <f>D112/45</f>
        <v>1.6059555555555556</v>
      </c>
      <c r="E120" s="131">
        <v>17000</v>
      </c>
      <c r="F120" s="287">
        <f>E120*D120</f>
        <v>27301.244444444445</v>
      </c>
    </row>
    <row r="121" spans="1:6" ht="18" customHeight="1">
      <c r="A121" s="202"/>
      <c r="B121" s="97" t="s">
        <v>110</v>
      </c>
      <c r="C121" s="23" t="s">
        <v>8</v>
      </c>
      <c r="D121" s="25">
        <f>D120*2</f>
        <v>3.2119111111111112</v>
      </c>
      <c r="E121" s="131">
        <v>8000</v>
      </c>
      <c r="F121" s="287">
        <f>E121*D121</f>
        <v>25695.288888888888</v>
      </c>
    </row>
    <row r="122" spans="1:6" ht="18" customHeight="1">
      <c r="A122" s="166"/>
      <c r="B122" s="96" t="s">
        <v>111</v>
      </c>
      <c r="C122" s="28"/>
      <c r="D122" s="110"/>
      <c r="E122" s="133"/>
      <c r="F122" s="288">
        <f>SUM(F120:F121)</f>
        <v>52996.533333333333</v>
      </c>
    </row>
    <row r="123" spans="1:6" ht="18" customHeight="1">
      <c r="A123" s="166"/>
      <c r="B123" s="96"/>
      <c r="C123" s="28"/>
      <c r="D123" s="110"/>
      <c r="E123" s="133"/>
      <c r="F123" s="288"/>
    </row>
    <row r="124" spans="1:6" ht="18" customHeight="1">
      <c r="A124" s="168">
        <v>6</v>
      </c>
      <c r="B124" s="482" t="s">
        <v>101</v>
      </c>
      <c r="C124" s="482"/>
      <c r="D124" s="482"/>
      <c r="E124" s="482"/>
      <c r="F124" s="483"/>
    </row>
    <row r="125" spans="1:6" ht="18" customHeight="1">
      <c r="A125" s="197">
        <v>6.01</v>
      </c>
      <c r="B125" s="98" t="s">
        <v>102</v>
      </c>
      <c r="C125" s="69" t="s">
        <v>10</v>
      </c>
      <c r="D125" s="220">
        <f>(0.7*0.7*0.15)*2</f>
        <v>0.14699999999999996</v>
      </c>
      <c r="E125" s="136">
        <f>(F135+F132+F128)/D125</f>
        <v>218000.00000000003</v>
      </c>
      <c r="F125" s="289">
        <f>E125*D125</f>
        <v>32045.999999999996</v>
      </c>
    </row>
    <row r="126" spans="1:6" ht="18" customHeight="1">
      <c r="A126" s="204"/>
      <c r="B126" s="100" t="s">
        <v>2</v>
      </c>
      <c r="C126" s="56"/>
      <c r="D126" s="216"/>
      <c r="E126" s="134"/>
      <c r="F126" s="290"/>
    </row>
    <row r="127" spans="1:6" ht="18" customHeight="1">
      <c r="A127" s="204"/>
      <c r="B127" s="101" t="s">
        <v>99</v>
      </c>
      <c r="C127" s="56" t="s">
        <v>28</v>
      </c>
      <c r="D127" s="223">
        <f>D125*1.1</f>
        <v>0.16169999999999998</v>
      </c>
      <c r="E127" s="134">
        <v>180000</v>
      </c>
      <c r="F127" s="290">
        <f>E127*D127</f>
        <v>29105.999999999996</v>
      </c>
    </row>
    <row r="128" spans="1:6" ht="18" customHeight="1">
      <c r="A128" s="205"/>
      <c r="B128" s="100" t="s">
        <v>100</v>
      </c>
      <c r="C128" s="57"/>
      <c r="D128" s="217"/>
      <c r="E128" s="259"/>
      <c r="F128" s="291">
        <f>SUM(F127)</f>
        <v>29105.999999999996</v>
      </c>
    </row>
    <row r="129" spans="1:6" ht="18" customHeight="1">
      <c r="A129" s="205"/>
      <c r="B129" s="100"/>
      <c r="C129" s="57"/>
      <c r="D129" s="217"/>
      <c r="E129" s="259"/>
      <c r="F129" s="291"/>
    </row>
    <row r="130" spans="1:6" ht="18" customHeight="1">
      <c r="A130" s="202"/>
      <c r="B130" s="96" t="s">
        <v>19</v>
      </c>
      <c r="C130" s="23"/>
      <c r="D130" s="25"/>
      <c r="E130" s="131"/>
      <c r="F130" s="287"/>
    </row>
    <row r="131" spans="1:6" ht="18" customHeight="1">
      <c r="A131" s="202"/>
      <c r="B131" s="97" t="s">
        <v>22</v>
      </c>
      <c r="C131" s="23" t="s">
        <v>21</v>
      </c>
      <c r="D131" s="25">
        <f>D125/6</f>
        <v>2.4499999999999994E-2</v>
      </c>
      <c r="E131" s="131">
        <v>65000</v>
      </c>
      <c r="F131" s="287">
        <f>E131*D131</f>
        <v>1592.4999999999995</v>
      </c>
    </row>
    <row r="132" spans="1:6" ht="18" customHeight="1">
      <c r="A132" s="166"/>
      <c r="B132" s="96" t="s">
        <v>112</v>
      </c>
      <c r="C132" s="28"/>
      <c r="D132" s="33"/>
      <c r="E132" s="133"/>
      <c r="F132" s="288">
        <f>SUM(F131)</f>
        <v>1592.4999999999995</v>
      </c>
    </row>
    <row r="133" spans="1:6" ht="18" customHeight="1">
      <c r="A133" s="166"/>
      <c r="B133" s="96"/>
      <c r="C133" s="28"/>
      <c r="D133" s="33"/>
      <c r="E133" s="133"/>
      <c r="F133" s="288"/>
    </row>
    <row r="134" spans="1:6" ht="18" customHeight="1">
      <c r="A134" s="204"/>
      <c r="B134" s="101" t="s">
        <v>26</v>
      </c>
      <c r="C134" s="56" t="s">
        <v>21</v>
      </c>
      <c r="D134" s="223">
        <f>D131</f>
        <v>2.4499999999999994E-2</v>
      </c>
      <c r="E134" s="134">
        <v>55000</v>
      </c>
      <c r="F134" s="290">
        <f>E134*D134</f>
        <v>1347.4999999999998</v>
      </c>
    </row>
    <row r="135" spans="1:6" ht="18" customHeight="1">
      <c r="A135" s="205"/>
      <c r="B135" s="100" t="s">
        <v>113</v>
      </c>
      <c r="C135" s="57"/>
      <c r="D135" s="217"/>
      <c r="E135" s="259"/>
      <c r="F135" s="291">
        <f>SUM(F134)</f>
        <v>1347.4999999999998</v>
      </c>
    </row>
    <row r="136" spans="1:6" ht="18" customHeight="1">
      <c r="A136" s="197">
        <v>6.02</v>
      </c>
      <c r="B136" s="98" t="s">
        <v>103</v>
      </c>
      <c r="C136" s="69" t="s">
        <v>10</v>
      </c>
      <c r="D136" s="220">
        <f>(1*0.25*0.25)*2</f>
        <v>0.125</v>
      </c>
      <c r="E136" s="136">
        <f>(F146+F143+F139)/D136</f>
        <v>223920.00000000003</v>
      </c>
      <c r="F136" s="289">
        <f>E136*D136</f>
        <v>27990.000000000004</v>
      </c>
    </row>
    <row r="137" spans="1:6" ht="18" customHeight="1">
      <c r="A137" s="204"/>
      <c r="B137" s="100" t="s">
        <v>2</v>
      </c>
      <c r="C137" s="56"/>
      <c r="D137" s="216"/>
      <c r="E137" s="134"/>
      <c r="F137" s="290"/>
    </row>
    <row r="138" spans="1:6" ht="18" customHeight="1">
      <c r="A138" s="204"/>
      <c r="B138" s="101" t="s">
        <v>99</v>
      </c>
      <c r="C138" s="56" t="s">
        <v>28</v>
      </c>
      <c r="D138" s="223">
        <f>D136*1.1</f>
        <v>0.13750000000000001</v>
      </c>
      <c r="E138" s="134">
        <v>200000</v>
      </c>
      <c r="F138" s="290">
        <f>E138*D138</f>
        <v>27500.000000000004</v>
      </c>
    </row>
    <row r="139" spans="1:6" ht="18" customHeight="1">
      <c r="A139" s="205"/>
      <c r="B139" s="100" t="s">
        <v>100</v>
      </c>
      <c r="C139" s="57"/>
      <c r="D139" s="217"/>
      <c r="E139" s="259"/>
      <c r="F139" s="291">
        <f>SUM(F138)</f>
        <v>27500.000000000004</v>
      </c>
    </row>
    <row r="140" spans="1:6" ht="18" customHeight="1">
      <c r="A140" s="205"/>
      <c r="B140" s="100"/>
      <c r="C140" s="57"/>
      <c r="D140" s="217"/>
      <c r="E140" s="259"/>
      <c r="F140" s="291"/>
    </row>
    <row r="141" spans="1:6" ht="18" customHeight="1">
      <c r="A141" s="202"/>
      <c r="B141" s="96" t="s">
        <v>19</v>
      </c>
      <c r="C141" s="23"/>
      <c r="D141" s="25"/>
      <c r="E141" s="131"/>
      <c r="F141" s="287"/>
    </row>
    <row r="142" spans="1:6" ht="18" customHeight="1">
      <c r="A142" s="202"/>
      <c r="B142" s="97" t="s">
        <v>22</v>
      </c>
      <c r="C142" s="23" t="s">
        <v>21</v>
      </c>
      <c r="D142" s="245">
        <f>D134/6</f>
        <v>4.083333333333332E-3</v>
      </c>
      <c r="E142" s="131">
        <v>65000</v>
      </c>
      <c r="F142" s="287">
        <f>E142*D142</f>
        <v>265.41666666666657</v>
      </c>
    </row>
    <row r="143" spans="1:6" ht="18" customHeight="1">
      <c r="A143" s="166"/>
      <c r="B143" s="96" t="s">
        <v>112</v>
      </c>
      <c r="C143" s="28"/>
      <c r="D143" s="33"/>
      <c r="E143" s="133"/>
      <c r="F143" s="288">
        <f>SUM(F142)</f>
        <v>265.41666666666657</v>
      </c>
    </row>
    <row r="144" spans="1:6" ht="18" customHeight="1">
      <c r="A144" s="166"/>
      <c r="B144" s="96"/>
      <c r="C144" s="28"/>
      <c r="D144" s="33"/>
      <c r="E144" s="133"/>
      <c r="F144" s="288"/>
    </row>
    <row r="145" spans="1:6" ht="18" customHeight="1">
      <c r="A145" s="204"/>
      <c r="B145" s="101" t="s">
        <v>26</v>
      </c>
      <c r="C145" s="56" t="s">
        <v>21</v>
      </c>
      <c r="D145" s="246">
        <f>D142</f>
        <v>4.083333333333332E-3</v>
      </c>
      <c r="E145" s="134">
        <v>55000</v>
      </c>
      <c r="F145" s="290">
        <f>E145*D145</f>
        <v>224.58333333333326</v>
      </c>
    </row>
    <row r="146" spans="1:6" ht="18" customHeight="1">
      <c r="A146" s="205"/>
      <c r="B146" s="100" t="s">
        <v>113</v>
      </c>
      <c r="C146" s="57"/>
      <c r="D146" s="217"/>
      <c r="E146" s="259"/>
      <c r="F146" s="291">
        <f>SUM(F145)</f>
        <v>224.58333333333326</v>
      </c>
    </row>
    <row r="147" spans="1:6" ht="18" customHeight="1">
      <c r="A147" s="197">
        <v>6.03</v>
      </c>
      <c r="B147" s="98" t="s">
        <v>104</v>
      </c>
      <c r="C147" s="69" t="s">
        <v>10</v>
      </c>
      <c r="D147" s="220">
        <f>(3*0.25*0.25)*2</f>
        <v>0.375</v>
      </c>
      <c r="E147" s="136">
        <f>(F157+F154+F150)/D147</f>
        <v>295000.00000000006</v>
      </c>
      <c r="F147" s="289">
        <f>E147*D147</f>
        <v>110625.00000000003</v>
      </c>
    </row>
    <row r="148" spans="1:6" ht="18" customHeight="1">
      <c r="A148" s="204"/>
      <c r="B148" s="100" t="s">
        <v>2</v>
      </c>
      <c r="C148" s="56"/>
      <c r="D148" s="216"/>
      <c r="E148" s="134"/>
      <c r="F148" s="290"/>
    </row>
    <row r="149" spans="1:6" ht="18" customHeight="1">
      <c r="A149" s="204"/>
      <c r="B149" s="101" t="s">
        <v>99</v>
      </c>
      <c r="C149" s="56" t="s">
        <v>28</v>
      </c>
      <c r="D149" s="223">
        <f>D147*1.1</f>
        <v>0.41250000000000003</v>
      </c>
      <c r="E149" s="134">
        <v>250000</v>
      </c>
      <c r="F149" s="290">
        <f>E149*D149</f>
        <v>103125.00000000001</v>
      </c>
    </row>
    <row r="150" spans="1:6" ht="18" customHeight="1">
      <c r="A150" s="205"/>
      <c r="B150" s="100" t="s">
        <v>100</v>
      </c>
      <c r="C150" s="57"/>
      <c r="D150" s="217"/>
      <c r="E150" s="259"/>
      <c r="F150" s="291">
        <f>SUM(F149)</f>
        <v>103125.00000000001</v>
      </c>
    </row>
    <row r="151" spans="1:6" ht="18" customHeight="1">
      <c r="A151" s="205"/>
      <c r="B151" s="100"/>
      <c r="C151" s="57"/>
      <c r="D151" s="217"/>
      <c r="E151" s="259"/>
      <c r="F151" s="291"/>
    </row>
    <row r="152" spans="1:6" ht="18" customHeight="1">
      <c r="A152" s="202"/>
      <c r="B152" s="96" t="s">
        <v>19</v>
      </c>
      <c r="C152" s="23"/>
      <c r="D152" s="25"/>
      <c r="E152" s="131"/>
      <c r="F152" s="287"/>
    </row>
    <row r="153" spans="1:6" ht="18" customHeight="1">
      <c r="A153" s="202"/>
      <c r="B153" s="97" t="s">
        <v>22</v>
      </c>
      <c r="C153" s="23" t="s">
        <v>21</v>
      </c>
      <c r="D153" s="25">
        <f>D147/6</f>
        <v>6.25E-2</v>
      </c>
      <c r="E153" s="131">
        <v>65000</v>
      </c>
      <c r="F153" s="287">
        <f>E153*D153</f>
        <v>4062.5</v>
      </c>
    </row>
    <row r="154" spans="1:6" ht="18" customHeight="1">
      <c r="A154" s="166"/>
      <c r="B154" s="96" t="s">
        <v>112</v>
      </c>
      <c r="C154" s="28"/>
      <c r="D154" s="33"/>
      <c r="E154" s="133"/>
      <c r="F154" s="288">
        <f>SUM(F153)</f>
        <v>4062.5</v>
      </c>
    </row>
    <row r="155" spans="1:6" ht="18" customHeight="1">
      <c r="A155" s="166"/>
      <c r="B155" s="96"/>
      <c r="C155" s="28"/>
      <c r="D155" s="33"/>
      <c r="E155" s="133"/>
      <c r="F155" s="288"/>
    </row>
    <row r="156" spans="1:6" ht="18" customHeight="1">
      <c r="A156" s="204"/>
      <c r="B156" s="101" t="s">
        <v>26</v>
      </c>
      <c r="C156" s="56" t="s">
        <v>21</v>
      </c>
      <c r="D156" s="223">
        <f>D153</f>
        <v>6.25E-2</v>
      </c>
      <c r="E156" s="134">
        <v>55000</v>
      </c>
      <c r="F156" s="290">
        <f>E156*D156</f>
        <v>3437.5</v>
      </c>
    </row>
    <row r="157" spans="1:6" ht="18" customHeight="1">
      <c r="A157" s="205"/>
      <c r="B157" s="100" t="s">
        <v>113</v>
      </c>
      <c r="C157" s="57"/>
      <c r="D157" s="217"/>
      <c r="E157" s="259"/>
      <c r="F157" s="291">
        <f>SUM(F156)</f>
        <v>3437.5</v>
      </c>
    </row>
    <row r="158" spans="1:6" ht="18" customHeight="1">
      <c r="A158" s="205"/>
      <c r="B158" s="100"/>
      <c r="C158" s="57"/>
      <c r="D158" s="217"/>
      <c r="E158" s="259"/>
      <c r="F158" s="291"/>
    </row>
    <row r="159" spans="1:6" ht="18" customHeight="1">
      <c r="A159" s="168">
        <v>7</v>
      </c>
      <c r="B159" s="478" t="s">
        <v>73</v>
      </c>
      <c r="C159" s="478"/>
      <c r="D159" s="478"/>
      <c r="E159" s="478"/>
      <c r="F159" s="479"/>
    </row>
    <row r="160" spans="1:6" ht="18" customHeight="1">
      <c r="A160" s="200">
        <v>7.01</v>
      </c>
      <c r="B160" s="16" t="s">
        <v>71</v>
      </c>
      <c r="C160" s="3" t="s">
        <v>28</v>
      </c>
      <c r="D160" s="214">
        <f>0.4*0.8*16</f>
        <v>5.120000000000001</v>
      </c>
      <c r="E160" s="132">
        <f>(F170+F165)/D160</f>
        <v>85069.756862745096</v>
      </c>
      <c r="F160" s="158">
        <f>E160*D160</f>
        <v>435557.15513725497</v>
      </c>
    </row>
    <row r="161" spans="1:6" ht="18" customHeight="1">
      <c r="A161" s="199"/>
      <c r="B161" s="8" t="s">
        <v>29</v>
      </c>
      <c r="C161" s="9"/>
      <c r="D161" s="209"/>
      <c r="E161" s="131"/>
      <c r="F161" s="153"/>
    </row>
    <row r="162" spans="1:6" ht="18" customHeight="1">
      <c r="A162" s="199"/>
      <c r="B162" s="13" t="s">
        <v>30</v>
      </c>
      <c r="C162" s="9" t="s">
        <v>28</v>
      </c>
      <c r="D162" s="46">
        <f>D160*(10/17)*1.57</f>
        <v>4.7284705882352958</v>
      </c>
      <c r="E162" s="131">
        <v>33500</v>
      </c>
      <c r="F162" s="153">
        <f>E162*D162</f>
        <v>158403.76470588241</v>
      </c>
    </row>
    <row r="163" spans="1:6" s="90" customFormat="1" ht="18" customHeight="1">
      <c r="A163" s="199"/>
      <c r="B163" s="13" t="s">
        <v>11</v>
      </c>
      <c r="C163" s="9" t="s">
        <v>31</v>
      </c>
      <c r="D163" s="25">
        <f>D160*(1/17)*1.57*(1440/50)</f>
        <v>13.617995294117648</v>
      </c>
      <c r="E163" s="131">
        <v>11200</v>
      </c>
      <c r="F163" s="153">
        <f t="shared" ref="F163:F164" si="7">E163*D163</f>
        <v>152521.54729411766</v>
      </c>
    </row>
    <row r="164" spans="1:6" ht="18" customHeight="1">
      <c r="A164" s="199"/>
      <c r="B164" s="13" t="s">
        <v>32</v>
      </c>
      <c r="C164" s="9" t="s">
        <v>28</v>
      </c>
      <c r="D164" s="25">
        <f>D160*(6/17)*1.57</f>
        <v>2.8370823529411773</v>
      </c>
      <c r="E164" s="131">
        <v>32500</v>
      </c>
      <c r="F164" s="153">
        <f t="shared" si="7"/>
        <v>92205.176470588267</v>
      </c>
    </row>
    <row r="165" spans="1:6" ht="18" customHeight="1">
      <c r="A165" s="199"/>
      <c r="B165" s="8" t="s">
        <v>5</v>
      </c>
      <c r="C165" s="9"/>
      <c r="D165" s="46"/>
      <c r="E165" s="131"/>
      <c r="F165" s="160">
        <f>SUM(F162:F164)</f>
        <v>403130.48847058829</v>
      </c>
    </row>
    <row r="166" spans="1:6" ht="18" customHeight="1">
      <c r="A166" s="199"/>
      <c r="B166" s="13"/>
      <c r="C166" s="9"/>
      <c r="D166" s="46"/>
      <c r="E166" s="131"/>
      <c r="F166" s="153"/>
    </row>
    <row r="167" spans="1:6" ht="18" customHeight="1">
      <c r="A167" s="198"/>
      <c r="B167" s="8" t="s">
        <v>33</v>
      </c>
      <c r="C167" s="9"/>
      <c r="D167" s="46"/>
      <c r="E167" s="131"/>
      <c r="F167" s="153"/>
    </row>
    <row r="168" spans="1:6" ht="18" customHeight="1">
      <c r="A168" s="198"/>
      <c r="B168" s="13" t="s">
        <v>34</v>
      </c>
      <c r="C168" s="9" t="s">
        <v>21</v>
      </c>
      <c r="D168" s="46">
        <f>D160/1.5</f>
        <v>3.413333333333334</v>
      </c>
      <c r="E168" s="131">
        <v>4500</v>
      </c>
      <c r="F168" s="153">
        <f>E168*D168</f>
        <v>15360.000000000004</v>
      </c>
    </row>
    <row r="169" spans="1:6" ht="18" customHeight="1">
      <c r="A169" s="198"/>
      <c r="B169" s="13" t="s">
        <v>7</v>
      </c>
      <c r="C169" s="9" t="s">
        <v>21</v>
      </c>
      <c r="D169" s="46">
        <f>+D168*2</f>
        <v>6.826666666666668</v>
      </c>
      <c r="E169" s="131">
        <v>2500</v>
      </c>
      <c r="F169" s="153">
        <f>E169*D169</f>
        <v>17066.666666666672</v>
      </c>
    </row>
    <row r="170" spans="1:6" ht="18" customHeight="1">
      <c r="A170" s="166"/>
      <c r="B170" s="96" t="s">
        <v>9</v>
      </c>
      <c r="C170" s="28"/>
      <c r="D170" s="33"/>
      <c r="E170" s="133"/>
      <c r="F170" s="288">
        <f>SUM(F168:F169)</f>
        <v>32426.666666666675</v>
      </c>
    </row>
    <row r="171" spans="1:6" ht="18" customHeight="1">
      <c r="A171" s="197">
        <v>8.01</v>
      </c>
      <c r="B171" s="16" t="s">
        <v>35</v>
      </c>
      <c r="C171" s="35" t="s">
        <v>36</v>
      </c>
      <c r="D171" s="37">
        <f>16*0.25</f>
        <v>4</v>
      </c>
      <c r="E171" s="136">
        <f>(F179+F174)/D171</f>
        <v>1980</v>
      </c>
      <c r="F171" s="151">
        <f>E171*D171</f>
        <v>7920</v>
      </c>
    </row>
    <row r="172" spans="1:6" ht="18" customHeight="1">
      <c r="A172" s="199"/>
      <c r="B172" s="8" t="s">
        <v>29</v>
      </c>
      <c r="C172" s="9"/>
      <c r="D172" s="46"/>
      <c r="E172" s="131"/>
      <c r="F172" s="153"/>
    </row>
    <row r="173" spans="1:6" ht="18" customHeight="1">
      <c r="A173" s="198"/>
      <c r="B173" s="13" t="s">
        <v>37</v>
      </c>
      <c r="C173" s="9" t="s">
        <v>38</v>
      </c>
      <c r="D173" s="46">
        <f>D171</f>
        <v>4</v>
      </c>
      <c r="E173" s="131">
        <v>1500</v>
      </c>
      <c r="F173" s="153">
        <f>E173*D173</f>
        <v>6000</v>
      </c>
    </row>
    <row r="174" spans="1:6" ht="18" customHeight="1">
      <c r="A174" s="168"/>
      <c r="B174" s="8" t="s">
        <v>5</v>
      </c>
      <c r="C174" s="12"/>
      <c r="D174" s="62"/>
      <c r="E174" s="133"/>
      <c r="F174" s="160">
        <f>SUM(F173)</f>
        <v>6000</v>
      </c>
    </row>
    <row r="175" spans="1:6" ht="18" customHeight="1">
      <c r="A175" s="198"/>
      <c r="B175" s="13"/>
      <c r="C175" s="9"/>
      <c r="D175" s="46"/>
      <c r="E175" s="131"/>
      <c r="F175" s="153"/>
    </row>
    <row r="176" spans="1:6" ht="18" customHeight="1">
      <c r="A176" s="233"/>
      <c r="B176" s="8" t="s">
        <v>33</v>
      </c>
      <c r="C176" s="9"/>
      <c r="D176" s="46"/>
      <c r="E176" s="131"/>
      <c r="F176" s="153"/>
    </row>
    <row r="177" spans="1:6" ht="18" customHeight="1">
      <c r="A177" s="198"/>
      <c r="B177" s="13" t="s">
        <v>34</v>
      </c>
      <c r="C177" s="9" t="s">
        <v>21</v>
      </c>
      <c r="D177" s="25">
        <f>D171/100</f>
        <v>0.04</v>
      </c>
      <c r="E177" s="131">
        <v>18000</v>
      </c>
      <c r="F177" s="153">
        <f>E177*D177</f>
        <v>720</v>
      </c>
    </row>
    <row r="178" spans="1:6" ht="18" customHeight="1">
      <c r="A178" s="198"/>
      <c r="B178" s="13" t="s">
        <v>7</v>
      </c>
      <c r="C178" s="9" t="s">
        <v>21</v>
      </c>
      <c r="D178" s="46">
        <f>+D177*2</f>
        <v>0.08</v>
      </c>
      <c r="E178" s="131">
        <v>15000</v>
      </c>
      <c r="F178" s="153">
        <f>E178*D178</f>
        <v>1200</v>
      </c>
    </row>
    <row r="179" spans="1:6" ht="18" customHeight="1">
      <c r="A179" s="168"/>
      <c r="B179" s="8" t="s">
        <v>39</v>
      </c>
      <c r="C179" s="12"/>
      <c r="D179" s="62"/>
      <c r="E179" s="133"/>
      <c r="F179" s="160">
        <f>SUM(F177:F178)</f>
        <v>1920</v>
      </c>
    </row>
    <row r="180" spans="1:6" ht="18" customHeight="1">
      <c r="A180" s="168"/>
      <c r="B180" s="8"/>
      <c r="C180" s="12"/>
      <c r="D180" s="62"/>
      <c r="E180" s="133"/>
      <c r="F180" s="160"/>
    </row>
    <row r="181" spans="1:6" ht="18" customHeight="1">
      <c r="A181" s="166">
        <v>9</v>
      </c>
      <c r="B181" s="480" t="s">
        <v>72</v>
      </c>
      <c r="C181" s="480"/>
      <c r="D181" s="480"/>
      <c r="E181" s="480"/>
      <c r="F181" s="481"/>
    </row>
    <row r="182" spans="1:6" ht="18" customHeight="1">
      <c r="A182" s="197">
        <v>9.01</v>
      </c>
      <c r="B182" s="16" t="s">
        <v>40</v>
      </c>
      <c r="C182" s="3" t="s">
        <v>1</v>
      </c>
      <c r="D182" s="214">
        <f>((16-5)*3+(1.5*4*2))-(1.8)</f>
        <v>43.2</v>
      </c>
      <c r="E182" s="132">
        <f>(F188+F193)/D182</f>
        <v>16453.28487488101</v>
      </c>
      <c r="F182" s="158">
        <f>E182*D182</f>
        <v>710781.90659485967</v>
      </c>
    </row>
    <row r="183" spans="1:6" ht="18" customHeight="1">
      <c r="A183" s="201"/>
      <c r="B183" s="102"/>
      <c r="C183" s="20" t="s">
        <v>28</v>
      </c>
      <c r="D183" s="246">
        <f>D182*0.2</f>
        <v>8.64</v>
      </c>
      <c r="E183" s="134"/>
      <c r="F183" s="163"/>
    </row>
    <row r="184" spans="1:6" ht="18" customHeight="1">
      <c r="A184" s="198"/>
      <c r="B184" s="8" t="s">
        <v>2</v>
      </c>
      <c r="C184" s="9"/>
      <c r="D184" s="46"/>
      <c r="E184" s="131"/>
      <c r="F184" s="153"/>
    </row>
    <row r="185" spans="1:6" s="90" customFormat="1" ht="18" customHeight="1">
      <c r="A185" s="198"/>
      <c r="B185" s="48" t="s">
        <v>41</v>
      </c>
      <c r="C185" s="9" t="s">
        <v>31</v>
      </c>
      <c r="D185" s="25">
        <f>D183*0.2439*(1/7)*1.54*(1440/50)</f>
        <v>13.351827456000002</v>
      </c>
      <c r="E185" s="131">
        <v>11200</v>
      </c>
      <c r="F185" s="153">
        <f>E185*D185</f>
        <v>149540.46750720002</v>
      </c>
    </row>
    <row r="186" spans="1:6" ht="18" customHeight="1">
      <c r="A186" s="198"/>
      <c r="B186" s="48" t="s">
        <v>42</v>
      </c>
      <c r="C186" s="9" t="s">
        <v>28</v>
      </c>
      <c r="D186" s="25">
        <f>D183*0.2439*(6/7)*1.54</f>
        <v>2.7816307200000003</v>
      </c>
      <c r="E186" s="131">
        <v>30500</v>
      </c>
      <c r="F186" s="153">
        <f t="shared" ref="F186:F187" si="8">E186*D186</f>
        <v>84839.736960000009</v>
      </c>
    </row>
    <row r="187" spans="1:6" ht="18" customHeight="1">
      <c r="A187" s="198"/>
      <c r="B187" s="48" t="s">
        <v>43</v>
      </c>
      <c r="C187" s="9" t="s">
        <v>44</v>
      </c>
      <c r="D187" s="25">
        <f>D183*1.15/(0.235*0.1125*0.075)</f>
        <v>5011.0638297872347</v>
      </c>
      <c r="E187" s="131">
        <v>58</v>
      </c>
      <c r="F187" s="153">
        <f t="shared" si="8"/>
        <v>290641.70212765964</v>
      </c>
    </row>
    <row r="188" spans="1:6" ht="18" customHeight="1">
      <c r="A188" s="168"/>
      <c r="B188" s="60" t="s">
        <v>5</v>
      </c>
      <c r="C188" s="12"/>
      <c r="D188" s="33"/>
      <c r="E188" s="133"/>
      <c r="F188" s="160">
        <f>SUM(F185:F187)</f>
        <v>525021.90659485967</v>
      </c>
    </row>
    <row r="189" spans="1:6" ht="18" customHeight="1">
      <c r="A189" s="198"/>
      <c r="B189" s="48"/>
      <c r="C189" s="9"/>
      <c r="D189" s="25"/>
      <c r="E189" s="131"/>
      <c r="F189" s="153"/>
    </row>
    <row r="190" spans="1:6" ht="18" customHeight="1">
      <c r="A190" s="198"/>
      <c r="B190" s="8" t="s">
        <v>6</v>
      </c>
      <c r="C190" s="9"/>
      <c r="D190" s="46"/>
      <c r="E190" s="131"/>
      <c r="F190" s="153"/>
    </row>
    <row r="191" spans="1:6" ht="18" customHeight="1">
      <c r="A191" s="198"/>
      <c r="B191" s="13" t="s">
        <v>34</v>
      </c>
      <c r="C191" s="9" t="s">
        <v>8</v>
      </c>
      <c r="D191" s="46">
        <f>D183/1</f>
        <v>8.64</v>
      </c>
      <c r="E191" s="131">
        <v>6500</v>
      </c>
      <c r="F191" s="153">
        <f>E191*D191</f>
        <v>56160.000000000007</v>
      </c>
    </row>
    <row r="192" spans="1:6" ht="18" customHeight="1">
      <c r="A192" s="198"/>
      <c r="B192" s="13" t="s">
        <v>7</v>
      </c>
      <c r="C192" s="9" t="s">
        <v>8</v>
      </c>
      <c r="D192" s="25">
        <f>(D183/1.2)*4</f>
        <v>28.800000000000004</v>
      </c>
      <c r="E192" s="131">
        <v>4500</v>
      </c>
      <c r="F192" s="153">
        <f>E192*D192</f>
        <v>129600.00000000001</v>
      </c>
    </row>
    <row r="193" spans="1:6" ht="18" customHeight="1">
      <c r="A193" s="172"/>
      <c r="B193" s="60" t="s">
        <v>9</v>
      </c>
      <c r="C193" s="61"/>
      <c r="D193" s="107"/>
      <c r="E193" s="275"/>
      <c r="F193" s="285">
        <f>SUM(F191:F192)</f>
        <v>185760.00000000003</v>
      </c>
    </row>
    <row r="194" spans="1:6" ht="18" customHeight="1">
      <c r="A194" s="172"/>
      <c r="B194" s="60"/>
      <c r="C194" s="61"/>
      <c r="D194" s="107"/>
      <c r="E194" s="275"/>
      <c r="F194" s="285"/>
    </row>
    <row r="195" spans="1:6" ht="18" customHeight="1">
      <c r="A195" s="172">
        <v>10</v>
      </c>
      <c r="B195" s="476" t="s">
        <v>79</v>
      </c>
      <c r="C195" s="476"/>
      <c r="D195" s="476"/>
      <c r="E195" s="476"/>
      <c r="F195" s="477"/>
    </row>
    <row r="196" spans="1:6" ht="18" customHeight="1">
      <c r="A196" s="197">
        <v>10.01</v>
      </c>
      <c r="B196" s="2" t="s">
        <v>74</v>
      </c>
      <c r="C196" s="15" t="s">
        <v>45</v>
      </c>
      <c r="D196" s="234">
        <f>5*0.25*0.2</f>
        <v>0.25</v>
      </c>
      <c r="E196" s="277">
        <f>(F203+F208+F213)/D196</f>
        <v>150864.79860627177</v>
      </c>
      <c r="F196" s="158">
        <f>E196*D196</f>
        <v>37716.199651567942</v>
      </c>
    </row>
    <row r="197" spans="1:6" ht="18" customHeight="1">
      <c r="A197" s="233"/>
      <c r="B197" s="175" t="s">
        <v>29</v>
      </c>
      <c r="C197" s="176"/>
      <c r="D197" s="235"/>
      <c r="E197" s="178"/>
      <c r="F197" s="179"/>
    </row>
    <row r="198" spans="1:6" ht="18" customHeight="1">
      <c r="A198" s="233"/>
      <c r="B198" s="180" t="s">
        <v>14</v>
      </c>
      <c r="C198" s="18" t="s">
        <v>45</v>
      </c>
      <c r="D198" s="235">
        <f>D196*(4/7)*1.57</f>
        <v>0.22428571428571428</v>
      </c>
      <c r="E198" s="178">
        <v>48000</v>
      </c>
      <c r="F198" s="179">
        <f>E198*D198</f>
        <v>10765.714285714286</v>
      </c>
    </row>
    <row r="199" spans="1:6" s="90" customFormat="1" ht="19.5">
      <c r="A199" s="233"/>
      <c r="B199" s="180" t="s">
        <v>13</v>
      </c>
      <c r="C199" s="18" t="s">
        <v>45</v>
      </c>
      <c r="D199" s="235">
        <f>D196*(2/7)*1.54</f>
        <v>0.11</v>
      </c>
      <c r="E199" s="178">
        <v>36500</v>
      </c>
      <c r="F199" s="179">
        <f t="shared" ref="F199:F202" si="9">E199*D199</f>
        <v>4015</v>
      </c>
    </row>
    <row r="200" spans="1:6" ht="19.5">
      <c r="A200" s="233"/>
      <c r="B200" s="180" t="s">
        <v>11</v>
      </c>
      <c r="C200" s="176" t="s">
        <v>12</v>
      </c>
      <c r="D200" s="235">
        <f>D196*(1/7)*1.57*(1440/50)</f>
        <v>1.6148571428571428</v>
      </c>
      <c r="E200" s="178">
        <v>11200</v>
      </c>
      <c r="F200" s="179">
        <f t="shared" si="9"/>
        <v>18086.399999999998</v>
      </c>
    </row>
    <row r="201" spans="1:6" ht="19.5">
      <c r="A201" s="204"/>
      <c r="B201" s="101" t="s">
        <v>15</v>
      </c>
      <c r="C201" s="56" t="s">
        <v>16</v>
      </c>
      <c r="D201" s="223">
        <f>D206*10</f>
        <v>0.41666666666666663</v>
      </c>
      <c r="E201" s="134">
        <v>2200</v>
      </c>
      <c r="F201" s="179">
        <f t="shared" si="9"/>
        <v>916.66666666666663</v>
      </c>
    </row>
    <row r="202" spans="1:6" ht="19.5">
      <c r="A202" s="204"/>
      <c r="B202" s="101" t="s">
        <v>17</v>
      </c>
      <c r="C202" s="56" t="s">
        <v>16</v>
      </c>
      <c r="D202" s="223">
        <f>D207*5</f>
        <v>0.20833333333333331</v>
      </c>
      <c r="E202" s="134">
        <v>1900</v>
      </c>
      <c r="F202" s="179">
        <f t="shared" si="9"/>
        <v>395.83333333333331</v>
      </c>
    </row>
    <row r="203" spans="1:6" ht="19.5">
      <c r="A203" s="233"/>
      <c r="B203" s="175" t="s">
        <v>5</v>
      </c>
      <c r="C203" s="176"/>
      <c r="D203" s="235"/>
      <c r="E203" s="178"/>
      <c r="F203" s="292">
        <f>SUM(F198:F202)</f>
        <v>34179.614285714284</v>
      </c>
    </row>
    <row r="204" spans="1:6" ht="19.5">
      <c r="A204" s="233"/>
      <c r="B204" s="180"/>
      <c r="C204" s="176"/>
      <c r="D204" s="235"/>
      <c r="E204" s="178"/>
      <c r="F204" s="179"/>
    </row>
    <row r="205" spans="1:6" ht="19.5">
      <c r="A205" s="204"/>
      <c r="B205" s="100" t="s">
        <v>19</v>
      </c>
      <c r="C205" s="56"/>
      <c r="D205" s="223"/>
      <c r="E205" s="134"/>
      <c r="F205" s="290"/>
    </row>
    <row r="206" spans="1:6" ht="19.5">
      <c r="A206" s="204"/>
      <c r="B206" s="101" t="s">
        <v>20</v>
      </c>
      <c r="C206" s="56" t="s">
        <v>21</v>
      </c>
      <c r="D206" s="223">
        <f>D196/6</f>
        <v>4.1666666666666664E-2</v>
      </c>
      <c r="E206" s="134">
        <v>15000</v>
      </c>
      <c r="F206" s="290">
        <f>E206*D206</f>
        <v>625</v>
      </c>
    </row>
    <row r="207" spans="1:6" ht="19.5">
      <c r="A207" s="204"/>
      <c r="B207" s="101" t="s">
        <v>22</v>
      </c>
      <c r="C207" s="56" t="s">
        <v>21</v>
      </c>
      <c r="D207" s="223">
        <f>D196/6</f>
        <v>4.1666666666666664E-2</v>
      </c>
      <c r="E207" s="134">
        <v>15000</v>
      </c>
      <c r="F207" s="290">
        <f>E207*D207</f>
        <v>625</v>
      </c>
    </row>
    <row r="208" spans="1:6" ht="19.5">
      <c r="A208" s="205"/>
      <c r="B208" s="100" t="s">
        <v>23</v>
      </c>
      <c r="C208" s="57"/>
      <c r="D208" s="217"/>
      <c r="E208" s="259"/>
      <c r="F208" s="291">
        <f>SUM(F206:F207)</f>
        <v>1250</v>
      </c>
    </row>
    <row r="209" spans="1:6" ht="19.5">
      <c r="A209" s="205"/>
      <c r="B209" s="100"/>
      <c r="C209" s="57"/>
      <c r="D209" s="217"/>
      <c r="E209" s="259"/>
      <c r="F209" s="291"/>
    </row>
    <row r="210" spans="1:6" ht="19.5">
      <c r="A210" s="236"/>
      <c r="B210" s="175" t="s">
        <v>33</v>
      </c>
      <c r="C210" s="176"/>
      <c r="D210" s="235"/>
      <c r="E210" s="178"/>
      <c r="F210" s="179"/>
    </row>
    <row r="211" spans="1:6" ht="19.5">
      <c r="A211" s="236"/>
      <c r="B211" s="180" t="s">
        <v>34</v>
      </c>
      <c r="C211" s="176" t="s">
        <v>21</v>
      </c>
      <c r="D211" s="235">
        <f>D196/1.64</f>
        <v>0.1524390243902439</v>
      </c>
      <c r="E211" s="131">
        <v>6000</v>
      </c>
      <c r="F211" s="179">
        <f>E211*D211</f>
        <v>914.63414634146341</v>
      </c>
    </row>
    <row r="212" spans="1:6" ht="19.5">
      <c r="A212" s="236"/>
      <c r="B212" s="180" t="s">
        <v>7</v>
      </c>
      <c r="C212" s="176" t="s">
        <v>21</v>
      </c>
      <c r="D212" s="235">
        <f>+D211*2</f>
        <v>0.3048780487804878</v>
      </c>
      <c r="E212" s="131">
        <v>4500</v>
      </c>
      <c r="F212" s="179">
        <f t="shared" ref="F212" si="10">E212*D212</f>
        <v>1371.9512195121952</v>
      </c>
    </row>
    <row r="213" spans="1:6" ht="19.5">
      <c r="A213" s="186"/>
      <c r="B213" s="175" t="s">
        <v>119</v>
      </c>
      <c r="C213" s="183"/>
      <c r="D213" s="243"/>
      <c r="E213" s="185"/>
      <c r="F213" s="292">
        <f>SUM(F211:F212)</f>
        <v>2286.5853658536585</v>
      </c>
    </row>
    <row r="214" spans="1:6" ht="19.5">
      <c r="A214" s="236"/>
      <c r="B214" s="180"/>
      <c r="C214" s="176"/>
      <c r="D214" s="235"/>
      <c r="E214" s="178"/>
      <c r="F214" s="179"/>
    </row>
    <row r="215" spans="1:6" ht="19.5">
      <c r="A215" s="186">
        <v>11</v>
      </c>
      <c r="B215" s="484" t="s">
        <v>76</v>
      </c>
      <c r="C215" s="484"/>
      <c r="D215" s="484"/>
      <c r="E215" s="484"/>
      <c r="F215" s="485"/>
    </row>
    <row r="216" spans="1:6" ht="19.5">
      <c r="A216" s="197">
        <v>11.01</v>
      </c>
      <c r="B216" s="98" t="s">
        <v>75</v>
      </c>
      <c r="C216" s="41" t="s">
        <v>36</v>
      </c>
      <c r="D216" s="214">
        <v>15</v>
      </c>
      <c r="E216" s="132"/>
      <c r="F216" s="501"/>
    </row>
    <row r="217" spans="1:6" s="63" customFormat="1" ht="19.5">
      <c r="A217" s="201"/>
      <c r="B217" s="19"/>
      <c r="C217" s="20"/>
      <c r="D217" s="223">
        <f>D216*0.05</f>
        <v>0.75</v>
      </c>
      <c r="E217" s="134"/>
      <c r="F217" s="163"/>
    </row>
    <row r="218" spans="1:6" ht="19.5">
      <c r="A218" s="202"/>
      <c r="B218" s="96" t="s">
        <v>2</v>
      </c>
      <c r="C218" s="23"/>
      <c r="D218" s="25"/>
      <c r="E218" s="131"/>
      <c r="F218" s="287"/>
    </row>
    <row r="219" spans="1:6" s="63" customFormat="1" ht="19.5">
      <c r="A219" s="199"/>
      <c r="B219" s="13" t="s">
        <v>30</v>
      </c>
      <c r="C219" s="9" t="s">
        <v>28</v>
      </c>
      <c r="D219" s="46">
        <f>D216*0.1*1.5</f>
        <v>2.25</v>
      </c>
      <c r="E219" s="131">
        <v>25500</v>
      </c>
      <c r="F219" s="153">
        <f>E219*D219</f>
        <v>57375</v>
      </c>
    </row>
    <row r="220" spans="1:6" ht="19.5">
      <c r="A220" s="202"/>
      <c r="B220" s="97" t="s">
        <v>11</v>
      </c>
      <c r="C220" s="23" t="s">
        <v>12</v>
      </c>
      <c r="D220" s="46">
        <f>D217*(1/13)*1.57*(1440/50)</f>
        <v>2.6086153846153848</v>
      </c>
      <c r="E220" s="131">
        <v>11200</v>
      </c>
      <c r="F220" s="153">
        <f t="shared" ref="F220:F222" si="11">E220*D220</f>
        <v>29216.492307692308</v>
      </c>
    </row>
    <row r="221" spans="1:6" ht="19.5">
      <c r="A221" s="202"/>
      <c r="B221" s="97" t="s">
        <v>13</v>
      </c>
      <c r="C221" s="23" t="s">
        <v>10</v>
      </c>
      <c r="D221" s="46">
        <f>D217*(4/13)*1.57</f>
        <v>0.36230769230769233</v>
      </c>
      <c r="E221" s="131">
        <v>36500</v>
      </c>
      <c r="F221" s="153">
        <f t="shared" si="11"/>
        <v>13224.23076923077</v>
      </c>
    </row>
    <row r="222" spans="1:6" ht="19.5">
      <c r="A222" s="202"/>
      <c r="B222" s="97" t="s">
        <v>14</v>
      </c>
      <c r="C222" s="23" t="s">
        <v>10</v>
      </c>
      <c r="D222" s="46">
        <f>D217*(8/13)*1.57</f>
        <v>0.72461538461538466</v>
      </c>
      <c r="E222" s="131">
        <v>43500</v>
      </c>
      <c r="F222" s="153">
        <f t="shared" si="11"/>
        <v>31520.769230769234</v>
      </c>
    </row>
    <row r="223" spans="1:6" ht="19.5">
      <c r="A223" s="166"/>
      <c r="B223" s="96" t="s">
        <v>115</v>
      </c>
      <c r="C223" s="28"/>
      <c r="D223" s="33"/>
      <c r="E223" s="131"/>
      <c r="F223" s="288">
        <f>SUM(F219:F222)</f>
        <v>131336.4923076923</v>
      </c>
    </row>
    <row r="224" spans="1:6" ht="19.5">
      <c r="A224" s="166"/>
      <c r="B224" s="96"/>
      <c r="C224" s="28"/>
      <c r="D224" s="33"/>
      <c r="E224" s="131"/>
      <c r="F224" s="288"/>
    </row>
    <row r="225" spans="1:6" ht="19.5">
      <c r="A225" s="204"/>
      <c r="B225" s="100" t="s">
        <v>19</v>
      </c>
      <c r="C225" s="56"/>
      <c r="D225" s="223"/>
      <c r="F225" s="290"/>
    </row>
    <row r="226" spans="1:6" ht="19.5">
      <c r="A226" s="204"/>
      <c r="B226" s="101" t="s">
        <v>20</v>
      </c>
      <c r="C226" s="56" t="s">
        <v>21</v>
      </c>
      <c r="D226" s="223">
        <f>D212/6</f>
        <v>5.08130081300813E-2</v>
      </c>
      <c r="E226" s="131">
        <v>18500</v>
      </c>
      <c r="F226" s="290">
        <f>E226*D226</f>
        <v>940.04065040650403</v>
      </c>
    </row>
    <row r="227" spans="1:6" ht="19.5">
      <c r="A227" s="204"/>
      <c r="B227" s="101" t="s">
        <v>22</v>
      </c>
      <c r="C227" s="56" t="s">
        <v>21</v>
      </c>
      <c r="D227" s="223">
        <f>D212/6</f>
        <v>5.08130081300813E-2</v>
      </c>
      <c r="E227" s="131">
        <v>16500</v>
      </c>
      <c r="F227" s="290">
        <f>E227*D227</f>
        <v>838.41463414634143</v>
      </c>
    </row>
    <row r="228" spans="1:6" ht="19.5">
      <c r="A228" s="205"/>
      <c r="B228" s="100" t="s">
        <v>112</v>
      </c>
      <c r="C228" s="57"/>
      <c r="D228" s="217"/>
      <c r="E228" s="259"/>
      <c r="F228" s="291">
        <f>SUM(F226:F227)</f>
        <v>1778.4552845528456</v>
      </c>
    </row>
    <row r="229" spans="1:6" ht="19.5">
      <c r="A229" s="202"/>
      <c r="B229" s="97"/>
      <c r="C229" s="23"/>
      <c r="D229" s="219"/>
      <c r="E229" s="131"/>
      <c r="F229" s="287"/>
    </row>
    <row r="230" spans="1:6" ht="19.5">
      <c r="A230" s="202"/>
      <c r="B230" s="96" t="s">
        <v>6</v>
      </c>
      <c r="C230" s="23"/>
      <c r="D230" s="219"/>
      <c r="E230" s="131"/>
      <c r="F230" s="287"/>
    </row>
    <row r="231" spans="1:6" ht="19.5">
      <c r="A231" s="202"/>
      <c r="B231" s="97" t="s">
        <v>24</v>
      </c>
      <c r="C231" s="23" t="s">
        <v>21</v>
      </c>
      <c r="D231" s="25">
        <f>(D217/6)*2</f>
        <v>0.25</v>
      </c>
      <c r="E231" s="131">
        <v>12500</v>
      </c>
      <c r="F231" s="287">
        <f>E231*D231</f>
        <v>3125</v>
      </c>
    </row>
    <row r="232" spans="1:6" ht="19.5">
      <c r="A232" s="202"/>
      <c r="B232" s="97" t="s">
        <v>25</v>
      </c>
      <c r="C232" s="23" t="s">
        <v>21</v>
      </c>
      <c r="D232" s="25">
        <f>(D217/6)*18</f>
        <v>2.25</v>
      </c>
      <c r="E232" s="131">
        <v>11500</v>
      </c>
      <c r="F232" s="287">
        <f>E232*D232</f>
        <v>25875</v>
      </c>
    </row>
    <row r="233" spans="1:6" ht="19.5">
      <c r="A233" s="166"/>
      <c r="B233" s="96" t="s">
        <v>113</v>
      </c>
      <c r="C233" s="28"/>
      <c r="D233" s="33"/>
      <c r="E233" s="133"/>
      <c r="F233" s="288">
        <f>SUM(F231:F232)</f>
        <v>29000</v>
      </c>
    </row>
    <row r="234" spans="1:6" ht="19.5">
      <c r="A234" s="202"/>
      <c r="B234" s="97"/>
      <c r="C234" s="23"/>
      <c r="D234" s="25"/>
      <c r="E234" s="131"/>
      <c r="F234" s="287"/>
    </row>
    <row r="235" spans="1:6" ht="19.5">
      <c r="A235" s="197">
        <v>12.01</v>
      </c>
      <c r="B235" s="2" t="s">
        <v>46</v>
      </c>
      <c r="C235" s="65" t="s">
        <v>47</v>
      </c>
      <c r="D235" s="210">
        <v>15</v>
      </c>
      <c r="E235" s="278">
        <f>(F244+F239)/D235</f>
        <v>6241.9761333333336</v>
      </c>
      <c r="F235" s="151">
        <f>E235*D235</f>
        <v>93629.642000000007</v>
      </c>
    </row>
    <row r="236" spans="1:6" ht="19.5">
      <c r="A236" s="199"/>
      <c r="B236" s="60" t="s">
        <v>2</v>
      </c>
      <c r="C236" s="44"/>
      <c r="D236" s="45"/>
      <c r="E236" s="279"/>
      <c r="F236" s="153"/>
    </row>
    <row r="237" spans="1:6" ht="19.5">
      <c r="A237" s="199"/>
      <c r="B237" s="48" t="s">
        <v>11</v>
      </c>
      <c r="C237" s="44" t="s">
        <v>12</v>
      </c>
      <c r="D237" s="45">
        <f>D235*(1/6)*0.032*(1440/50)*1.54</f>
        <v>3.5481600000000006</v>
      </c>
      <c r="E237" s="279">
        <v>11200</v>
      </c>
      <c r="F237" s="153">
        <f>E237*D237</f>
        <v>39739.392000000007</v>
      </c>
    </row>
    <row r="238" spans="1:6" ht="19.5">
      <c r="A238" s="199"/>
      <c r="B238" s="48" t="s">
        <v>13</v>
      </c>
      <c r="C238" s="44" t="s">
        <v>10</v>
      </c>
      <c r="D238" s="45">
        <f>D235*(5/6)*0.032*1.54</f>
        <v>0.6160000000000001</v>
      </c>
      <c r="E238" s="279">
        <v>36500</v>
      </c>
      <c r="F238" s="153">
        <f>E238*D238</f>
        <v>22484.000000000004</v>
      </c>
    </row>
    <row r="239" spans="1:6" ht="19.5">
      <c r="A239" s="166"/>
      <c r="B239" s="96" t="s">
        <v>5</v>
      </c>
      <c r="C239" s="28"/>
      <c r="D239" s="33"/>
      <c r="E239" s="259"/>
      <c r="F239" s="288">
        <f>SUM(F237:F238)</f>
        <v>62223.392000000007</v>
      </c>
    </row>
    <row r="240" spans="1:6" ht="19.5">
      <c r="A240" s="202"/>
      <c r="B240" s="97"/>
      <c r="C240" s="23"/>
      <c r="D240" s="25"/>
      <c r="E240" s="131"/>
      <c r="F240" s="287"/>
    </row>
    <row r="241" spans="1:6" ht="19.5">
      <c r="A241" s="202"/>
      <c r="B241" s="96" t="s">
        <v>6</v>
      </c>
      <c r="C241" s="23"/>
      <c r="D241" s="25"/>
      <c r="E241" s="131"/>
      <c r="F241" s="287"/>
    </row>
    <row r="242" spans="1:6" ht="19.5">
      <c r="A242" s="202"/>
      <c r="B242" s="97" t="s">
        <v>34</v>
      </c>
      <c r="C242" s="23" t="s">
        <v>8</v>
      </c>
      <c r="D242" s="25">
        <f>D235/16</f>
        <v>0.9375</v>
      </c>
      <c r="E242" s="131">
        <v>14500</v>
      </c>
      <c r="F242" s="287">
        <f>E242*D242</f>
        <v>13593.75</v>
      </c>
    </row>
    <row r="243" spans="1:6" ht="19.5">
      <c r="A243" s="202"/>
      <c r="B243" s="97" t="s">
        <v>7</v>
      </c>
      <c r="C243" s="23" t="s">
        <v>8</v>
      </c>
      <c r="D243" s="25">
        <f>D242*2</f>
        <v>1.875</v>
      </c>
      <c r="E243" s="131">
        <v>9500</v>
      </c>
      <c r="F243" s="287">
        <f>E243*D243</f>
        <v>17812.5</v>
      </c>
    </row>
    <row r="244" spans="1:6" ht="19.5">
      <c r="A244" s="166"/>
      <c r="B244" s="96" t="s">
        <v>9</v>
      </c>
      <c r="C244" s="28"/>
      <c r="D244" s="33"/>
      <c r="E244" s="133"/>
      <c r="F244" s="288">
        <f>SUM(F242:F243)</f>
        <v>31406.25</v>
      </c>
    </row>
    <row r="245" spans="1:6" ht="19.5">
      <c r="A245" s="166"/>
      <c r="B245" s="96"/>
      <c r="C245" s="28"/>
      <c r="D245" s="33"/>
      <c r="E245" s="133"/>
      <c r="F245" s="288"/>
    </row>
    <row r="246" spans="1:6" ht="19.5">
      <c r="A246" s="166">
        <v>13</v>
      </c>
      <c r="B246" s="480" t="s">
        <v>48</v>
      </c>
      <c r="C246" s="480"/>
      <c r="D246" s="480"/>
      <c r="E246" s="480"/>
      <c r="F246" s="481"/>
    </row>
    <row r="247" spans="1:6" ht="19.5">
      <c r="A247" s="203">
        <v>13.01</v>
      </c>
      <c r="B247" s="16" t="s">
        <v>49</v>
      </c>
      <c r="C247" s="35" t="s">
        <v>50</v>
      </c>
      <c r="D247" s="220">
        <f>((5+3+3)*3)-(1.8)</f>
        <v>31.2</v>
      </c>
      <c r="E247" s="136">
        <f>(F251+F256)/D247</f>
        <v>4014.7472000000002</v>
      </c>
      <c r="F247" s="151">
        <f>E247*D247</f>
        <v>125260.11264000001</v>
      </c>
    </row>
    <row r="248" spans="1:6" ht="19.5">
      <c r="A248" s="202"/>
      <c r="B248" s="60" t="s">
        <v>51</v>
      </c>
      <c r="C248" s="44"/>
      <c r="D248" s="46"/>
      <c r="E248" s="131"/>
      <c r="F248" s="153"/>
    </row>
    <row r="249" spans="1:6" ht="19.5">
      <c r="A249" s="201"/>
      <c r="B249" s="48" t="s">
        <v>52</v>
      </c>
      <c r="C249" s="44" t="s">
        <v>12</v>
      </c>
      <c r="D249" s="25">
        <f>D247*0.015*(1/5)*1.54*(1440/50)</f>
        <v>4.1513472</v>
      </c>
      <c r="E249" s="279">
        <v>11200</v>
      </c>
      <c r="F249" s="153">
        <f>E249*D249</f>
        <v>46495.088640000002</v>
      </c>
    </row>
    <row r="250" spans="1:6" s="90" customFormat="1" ht="19.5">
      <c r="A250" s="237"/>
      <c r="B250" s="48" t="s">
        <v>13</v>
      </c>
      <c r="C250" s="44" t="s">
        <v>28</v>
      </c>
      <c r="D250" s="25">
        <f>D247*0.015*1.54*(4/5)</f>
        <v>0.57657600000000009</v>
      </c>
      <c r="E250" s="279">
        <v>36500</v>
      </c>
      <c r="F250" s="153">
        <f>E250*D250</f>
        <v>21045.024000000005</v>
      </c>
    </row>
    <row r="251" spans="1:6" ht="19.5">
      <c r="A251" s="190"/>
      <c r="B251" s="60" t="s">
        <v>5</v>
      </c>
      <c r="C251" s="61"/>
      <c r="D251" s="33"/>
      <c r="E251" s="259"/>
      <c r="F251" s="160">
        <f>SUM(F249:F250)</f>
        <v>67540.112640000007</v>
      </c>
    </row>
    <row r="252" spans="1:6" ht="19.5">
      <c r="A252" s="237"/>
      <c r="B252" s="48"/>
      <c r="C252" s="44"/>
      <c r="D252" s="25"/>
      <c r="E252" s="131"/>
      <c r="F252" s="153"/>
    </row>
    <row r="253" spans="1:6" ht="19.5">
      <c r="A253" s="237"/>
      <c r="B253" s="60" t="s">
        <v>53</v>
      </c>
      <c r="C253" s="44"/>
      <c r="D253" s="46"/>
      <c r="E253" s="131"/>
      <c r="F253" s="153"/>
    </row>
    <row r="254" spans="1:6" ht="19.5">
      <c r="A254" s="237"/>
      <c r="B254" s="48" t="s">
        <v>34</v>
      </c>
      <c r="C254" s="44" t="s">
        <v>8</v>
      </c>
      <c r="D254" s="25">
        <f>D247/10</f>
        <v>3.12</v>
      </c>
      <c r="E254" s="131">
        <v>4500</v>
      </c>
      <c r="F254" s="153">
        <f>E254*D254</f>
        <v>14040</v>
      </c>
    </row>
    <row r="255" spans="1:6" ht="19.5">
      <c r="A255" s="237"/>
      <c r="B255" s="48" t="s">
        <v>7</v>
      </c>
      <c r="C255" s="44" t="s">
        <v>8</v>
      </c>
      <c r="D255" s="46">
        <f>D254*4</f>
        <v>12.48</v>
      </c>
      <c r="E255" s="131">
        <v>3500</v>
      </c>
      <c r="F255" s="153">
        <f>E255*D255</f>
        <v>43680</v>
      </c>
    </row>
    <row r="256" spans="1:6" ht="19.5">
      <c r="A256" s="238"/>
      <c r="B256" s="96" t="s">
        <v>54</v>
      </c>
      <c r="C256" s="49"/>
      <c r="D256" s="51"/>
      <c r="E256" s="139"/>
      <c r="F256" s="160">
        <f>SUM(F254:F255)</f>
        <v>57720</v>
      </c>
    </row>
    <row r="257" spans="1:6" ht="19.5">
      <c r="A257" s="198"/>
      <c r="B257" s="48"/>
      <c r="C257" s="44"/>
      <c r="D257" s="46"/>
      <c r="E257" s="131"/>
      <c r="F257" s="153"/>
    </row>
    <row r="258" spans="1:6" ht="19.5">
      <c r="A258" s="190">
        <v>14</v>
      </c>
      <c r="B258" s="103" t="s">
        <v>55</v>
      </c>
      <c r="C258" s="94"/>
      <c r="D258" s="231"/>
      <c r="E258" s="280"/>
      <c r="F258" s="294"/>
    </row>
    <row r="259" spans="1:6" ht="19.5">
      <c r="A259" s="239">
        <v>14.01</v>
      </c>
      <c r="B259" s="16" t="s">
        <v>49</v>
      </c>
      <c r="C259" s="35" t="s">
        <v>1</v>
      </c>
      <c r="D259" s="220">
        <f>D247</f>
        <v>31.2</v>
      </c>
      <c r="E259" s="136">
        <f>(F268+F273)/D259</f>
        <v>9345.3333333333339</v>
      </c>
      <c r="F259" s="151">
        <f>E259*D259</f>
        <v>291574.40000000002</v>
      </c>
    </row>
    <row r="260" spans="1:6" ht="19.5">
      <c r="A260" s="198"/>
      <c r="B260" s="104"/>
      <c r="C260" s="18"/>
      <c r="D260" s="221"/>
      <c r="E260" s="134"/>
      <c r="F260" s="163"/>
    </row>
    <row r="261" spans="1:6" ht="19.5">
      <c r="A261" s="198"/>
      <c r="B261" s="60" t="s">
        <v>2</v>
      </c>
      <c r="C261" s="44"/>
      <c r="D261" s="46"/>
      <c r="E261" s="131"/>
      <c r="F261" s="153"/>
    </row>
    <row r="262" spans="1:6" s="90" customFormat="1" ht="19.5">
      <c r="A262" s="240"/>
      <c r="B262" s="48" t="s">
        <v>56</v>
      </c>
      <c r="C262" s="44" t="s">
        <v>57</v>
      </c>
      <c r="D262" s="46">
        <f>D259*0.07*3</f>
        <v>6.5520000000000005</v>
      </c>
      <c r="E262" s="131">
        <f>115000/D262</f>
        <v>17551.89255189255</v>
      </c>
      <c r="F262" s="153">
        <f>E262*D262</f>
        <v>115000</v>
      </c>
    </row>
    <row r="263" spans="1:6" ht="19.5">
      <c r="A263" s="237"/>
      <c r="B263" s="48" t="str">
        <f>'[1]Emulsion Paint'!$B$19</f>
        <v>Induit/undercoat ( 2 coats)</v>
      </c>
      <c r="C263" s="44" t="s">
        <v>57</v>
      </c>
      <c r="D263" s="46">
        <f>D259*0.07*2</f>
        <v>4.3680000000000003</v>
      </c>
      <c r="E263" s="131">
        <f>145000/D263</f>
        <v>33195.970695970696</v>
      </c>
      <c r="F263" s="153">
        <f t="shared" ref="F263:F267" si="12">E263*D263</f>
        <v>145000</v>
      </c>
    </row>
    <row r="264" spans="1:6" ht="19.5">
      <c r="A264" s="237"/>
      <c r="B264" s="48" t="str">
        <f>'[1]Emulsion Paint'!$B$24</f>
        <v>Roller</v>
      </c>
      <c r="C264" s="44" t="s">
        <v>44</v>
      </c>
      <c r="D264" s="25">
        <f>D259/100</f>
        <v>0.312</v>
      </c>
      <c r="E264" s="131">
        <v>1100</v>
      </c>
      <c r="F264" s="153">
        <f t="shared" si="12"/>
        <v>343.2</v>
      </c>
    </row>
    <row r="265" spans="1:6" ht="19.5">
      <c r="A265" s="237"/>
      <c r="B265" s="48" t="str">
        <f>'[1]Emulsion Paint'!$B$23</f>
        <v>Brush</v>
      </c>
      <c r="C265" s="44" t="s">
        <v>44</v>
      </c>
      <c r="D265" s="25">
        <f>D259/100</f>
        <v>0.312</v>
      </c>
      <c r="E265" s="131">
        <v>1100</v>
      </c>
      <c r="F265" s="153">
        <f t="shared" si="12"/>
        <v>343.2</v>
      </c>
    </row>
    <row r="266" spans="1:6" ht="19.5">
      <c r="A266" s="237"/>
      <c r="B266" s="48" t="s">
        <v>58</v>
      </c>
      <c r="C266" s="44" t="s">
        <v>59</v>
      </c>
      <c r="D266" s="25">
        <f>D259/100</f>
        <v>0.312</v>
      </c>
      <c r="E266" s="131">
        <v>3500</v>
      </c>
      <c r="F266" s="153">
        <f t="shared" si="12"/>
        <v>1092</v>
      </c>
    </row>
    <row r="267" spans="1:6" ht="19.5">
      <c r="A267" s="237"/>
      <c r="B267" s="48" t="s">
        <v>60</v>
      </c>
      <c r="C267" s="44" t="s">
        <v>44</v>
      </c>
      <c r="D267" s="25">
        <f>D259/50</f>
        <v>0.624</v>
      </c>
      <c r="E267" s="131">
        <v>3500</v>
      </c>
      <c r="F267" s="153">
        <f t="shared" si="12"/>
        <v>2184</v>
      </c>
    </row>
    <row r="268" spans="1:6" ht="19.5">
      <c r="A268" s="190"/>
      <c r="B268" s="60" t="s">
        <v>61</v>
      </c>
      <c r="C268" s="61"/>
      <c r="D268" s="33"/>
      <c r="E268" s="131"/>
      <c r="F268" s="160">
        <f>SUM(F262:F267)</f>
        <v>263962.40000000002</v>
      </c>
    </row>
    <row r="269" spans="1:6" ht="19.5">
      <c r="A269" s="237"/>
      <c r="B269" s="48"/>
      <c r="C269" s="44"/>
      <c r="D269" s="109"/>
      <c r="E269" s="131"/>
      <c r="F269" s="153"/>
    </row>
    <row r="270" spans="1:6" ht="19.5">
      <c r="A270" s="237"/>
      <c r="B270" s="60" t="s">
        <v>6</v>
      </c>
      <c r="C270" s="44"/>
      <c r="D270" s="218"/>
      <c r="E270" s="131"/>
      <c r="F270" s="153"/>
    </row>
    <row r="271" spans="1:6" ht="19.5">
      <c r="A271" s="237"/>
      <c r="B271" s="48" t="s">
        <v>7</v>
      </c>
      <c r="C271" s="44" t="s">
        <v>62</v>
      </c>
      <c r="D271" s="46">
        <f>D272</f>
        <v>2.3009999999999997</v>
      </c>
      <c r="E271" s="131">
        <v>5500</v>
      </c>
      <c r="F271" s="153">
        <f>E271*D271</f>
        <v>12655.499999999998</v>
      </c>
    </row>
    <row r="272" spans="1:6" ht="19.5">
      <c r="A272" s="237"/>
      <c r="B272" s="48" t="s">
        <v>63</v>
      </c>
      <c r="C272" s="44" t="s">
        <v>62</v>
      </c>
      <c r="D272" s="46">
        <f>D259*(0.59/8)</f>
        <v>2.3009999999999997</v>
      </c>
      <c r="E272" s="131">
        <v>6500</v>
      </c>
      <c r="F272" s="153">
        <f>E272*D272</f>
        <v>14956.499999999998</v>
      </c>
    </row>
    <row r="273" spans="1:6" ht="19.5">
      <c r="A273" s="166"/>
      <c r="B273" s="96" t="s">
        <v>9</v>
      </c>
      <c r="C273" s="28"/>
      <c r="D273" s="33"/>
      <c r="E273" s="133"/>
      <c r="F273" s="288">
        <f>SUM(F271:F272)</f>
        <v>27611.999999999996</v>
      </c>
    </row>
    <row r="274" spans="1:6" ht="19.5">
      <c r="A274" s="241"/>
      <c r="B274" s="105"/>
      <c r="C274" s="47"/>
      <c r="D274" s="222"/>
      <c r="E274" s="139"/>
      <c r="F274" s="295"/>
    </row>
    <row r="275" spans="1:6" ht="19.5">
      <c r="A275" s="166">
        <v>15</v>
      </c>
      <c r="B275" s="480" t="s">
        <v>125</v>
      </c>
      <c r="C275" s="480"/>
      <c r="D275" s="480"/>
      <c r="E275" s="480"/>
      <c r="F275" s="481"/>
    </row>
    <row r="276" spans="1:6" ht="19.5">
      <c r="A276" s="203">
        <v>15.01</v>
      </c>
      <c r="B276" s="34" t="s">
        <v>64</v>
      </c>
      <c r="C276" s="35" t="s">
        <v>50</v>
      </c>
      <c r="D276" s="37">
        <f>((11*3)+((1.5*2)*8))-(1.8)</f>
        <v>55.2</v>
      </c>
      <c r="E276" s="136">
        <f>(F286+F281)/D276</f>
        <v>3636.377433333334</v>
      </c>
      <c r="F276" s="151">
        <f>E276*D276</f>
        <v>200728.03432000004</v>
      </c>
    </row>
    <row r="277" spans="1:6" ht="19.5">
      <c r="A277" s="202"/>
      <c r="B277" s="60" t="s">
        <v>51</v>
      </c>
      <c r="C277" s="44"/>
      <c r="D277" s="46"/>
      <c r="E277" s="131"/>
      <c r="F277" s="153"/>
    </row>
    <row r="278" spans="1:6" ht="19.5">
      <c r="A278" s="201"/>
      <c r="B278" s="48" t="s">
        <v>52</v>
      </c>
      <c r="C278" s="44" t="s">
        <v>12</v>
      </c>
      <c r="D278" s="25">
        <f>D276*0.01*(1/4)*1.54*(1440/50)+(D276*0.003*(1/6)*1.57*(1440/50))</f>
        <v>7.3685376000000007</v>
      </c>
      <c r="E278" s="279">
        <v>11200</v>
      </c>
      <c r="F278" s="153">
        <f>E278*D278</f>
        <v>82527.621120000011</v>
      </c>
    </row>
    <row r="279" spans="1:6" s="90" customFormat="1" ht="19.5">
      <c r="A279" s="237"/>
      <c r="B279" s="48" t="s">
        <v>13</v>
      </c>
      <c r="C279" s="44" t="s">
        <v>28</v>
      </c>
      <c r="D279" s="25">
        <f>D276*0.01*1.5*1.54*(3/4)</f>
        <v>0.95633999999999997</v>
      </c>
      <c r="E279" s="279">
        <v>36500</v>
      </c>
      <c r="F279" s="153">
        <f t="shared" ref="F279:F280" si="13">E279*D279</f>
        <v>34906.409999999996</v>
      </c>
    </row>
    <row r="280" spans="1:6" ht="19.5">
      <c r="A280" s="237"/>
      <c r="B280" s="48" t="s">
        <v>65</v>
      </c>
      <c r="C280" s="44" t="s">
        <v>31</v>
      </c>
      <c r="D280" s="25">
        <f>D276*0.003*(5/6)*1.57*(1440/50)</f>
        <v>6.2398080000000027</v>
      </c>
      <c r="E280" s="134">
        <v>10400</v>
      </c>
      <c r="F280" s="153">
        <f t="shared" si="13"/>
        <v>64894.003200000028</v>
      </c>
    </row>
    <row r="281" spans="1:6" ht="19.5">
      <c r="A281" s="190"/>
      <c r="B281" s="60" t="s">
        <v>5</v>
      </c>
      <c r="C281" s="61"/>
      <c r="D281" s="33"/>
      <c r="E281" s="143"/>
      <c r="F281" s="160">
        <f>SUM(F278:F280)</f>
        <v>182328.03432000004</v>
      </c>
    </row>
    <row r="282" spans="1:6" ht="19.5">
      <c r="A282" s="237"/>
      <c r="B282" s="48"/>
      <c r="C282" s="44"/>
      <c r="D282" s="25"/>
      <c r="E282" s="131"/>
      <c r="F282" s="153"/>
    </row>
    <row r="283" spans="1:6" ht="19.5">
      <c r="A283" s="92"/>
      <c r="B283" s="60" t="s">
        <v>53</v>
      </c>
      <c r="C283" s="44"/>
      <c r="D283" s="46"/>
      <c r="E283" s="131"/>
      <c r="F283" s="153"/>
    </row>
    <row r="284" spans="1:6" ht="19.5">
      <c r="A284" s="92"/>
      <c r="B284" s="48" t="s">
        <v>34</v>
      </c>
      <c r="C284" s="44" t="s">
        <v>8</v>
      </c>
      <c r="D284" s="25">
        <f>D276/15</f>
        <v>3.68</v>
      </c>
      <c r="E284" s="131">
        <v>1800</v>
      </c>
      <c r="F284" s="153">
        <f>E284*D284</f>
        <v>6624</v>
      </c>
    </row>
    <row r="285" spans="1:6" ht="19.5">
      <c r="A285" s="92"/>
      <c r="B285" s="48" t="s">
        <v>7</v>
      </c>
      <c r="C285" s="44" t="s">
        <v>8</v>
      </c>
      <c r="D285" s="46">
        <f>D284*4</f>
        <v>14.72</v>
      </c>
      <c r="E285" s="131">
        <v>800</v>
      </c>
      <c r="F285" s="153">
        <f>E285*D285</f>
        <v>11776</v>
      </c>
    </row>
    <row r="286" spans="1:6" ht="19.5">
      <c r="A286" s="93"/>
      <c r="B286" s="96" t="s">
        <v>54</v>
      </c>
      <c r="C286" s="61"/>
      <c r="D286" s="62"/>
      <c r="E286" s="133"/>
      <c r="F286" s="160">
        <f>SUM(F284:F285)</f>
        <v>18400</v>
      </c>
    </row>
    <row r="287" spans="1:6" ht="19.5">
      <c r="A287" s="91"/>
      <c r="B287" s="97"/>
      <c r="C287" s="23"/>
      <c r="D287" s="25"/>
      <c r="E287" s="131"/>
      <c r="F287" s="287"/>
    </row>
    <row r="288" spans="1:6" ht="19.7" customHeight="1">
      <c r="A288" s="84">
        <v>16</v>
      </c>
      <c r="B288" s="480" t="s">
        <v>143</v>
      </c>
      <c r="C288" s="480"/>
      <c r="D288" s="480"/>
      <c r="E288" s="480"/>
      <c r="F288" s="481"/>
    </row>
    <row r="289" spans="1:6" ht="19.5">
      <c r="A289" s="206">
        <v>16.010000000000002</v>
      </c>
      <c r="B289" s="16" t="s">
        <v>66</v>
      </c>
      <c r="C289" s="35" t="s">
        <v>1</v>
      </c>
      <c r="D289" s="136">
        <f>D276+D247</f>
        <v>86.4</v>
      </c>
      <c r="E289" s="136">
        <f>(F299+F304)/D289</f>
        <v>4614.2482193732185</v>
      </c>
      <c r="F289" s="151">
        <f>E289*D289</f>
        <v>398671.04615384608</v>
      </c>
    </row>
    <row r="290" spans="1:6" ht="18.75" customHeight="1">
      <c r="A290" s="91"/>
      <c r="B290" s="60" t="s">
        <v>2</v>
      </c>
      <c r="C290" s="44"/>
      <c r="D290" s="131"/>
      <c r="E290" s="131"/>
      <c r="F290" s="153"/>
    </row>
    <row r="291" spans="1:6" ht="19.5">
      <c r="A291" s="91"/>
      <c r="B291" s="48" t="str">
        <f>'[1]Emulsion Paint'!$B$22</f>
        <v>Emulsion paint ( 3 coats)</v>
      </c>
      <c r="C291" s="44" t="s">
        <v>57</v>
      </c>
      <c r="D291" s="131">
        <f>D289*0.07*3</f>
        <v>18.144000000000002</v>
      </c>
      <c r="E291" s="131">
        <f>75000/D291</f>
        <v>4133.5978835978831</v>
      </c>
      <c r="F291" s="153">
        <f>E291*D291</f>
        <v>75000</v>
      </c>
    </row>
    <row r="292" spans="1:6" ht="19.5">
      <c r="A292" s="229"/>
      <c r="B292" s="48" t="str">
        <f>'[1]Emulsion Paint'!$B$20</f>
        <v>Whiting/stucco ( 2 coats)</v>
      </c>
      <c r="C292" s="44" t="s">
        <v>67</v>
      </c>
      <c r="D292" s="131">
        <f>D289*((50*2)/65)*2</f>
        <v>265.84615384615387</v>
      </c>
      <c r="E292" s="131">
        <f>145000/D292</f>
        <v>545.42824074074065</v>
      </c>
      <c r="F292" s="153">
        <f t="shared" ref="F292:F298" si="14">E292*D292</f>
        <v>145000</v>
      </c>
    </row>
    <row r="293" spans="1:6" ht="19.5">
      <c r="A293" s="92"/>
      <c r="B293" s="48" t="str">
        <f>'[1]Emulsion Paint'!$B$19</f>
        <v>Induit/undercoat ( 2 coats)</v>
      </c>
      <c r="C293" s="44" t="s">
        <v>57</v>
      </c>
      <c r="D293" s="131">
        <f>D289*0.07*2</f>
        <v>12.096000000000002</v>
      </c>
      <c r="E293" s="131">
        <v>1100</v>
      </c>
      <c r="F293" s="153">
        <f t="shared" si="14"/>
        <v>13305.600000000002</v>
      </c>
    </row>
    <row r="294" spans="1:6" ht="19.5">
      <c r="A294" s="92"/>
      <c r="B294" s="48" t="s">
        <v>68</v>
      </c>
      <c r="C294" s="44" t="s">
        <v>57</v>
      </c>
      <c r="D294" s="131">
        <f>D289*((30/65)*2)</f>
        <v>79.753846153846169</v>
      </c>
      <c r="E294" s="131">
        <v>1100</v>
      </c>
      <c r="F294" s="153">
        <f t="shared" si="14"/>
        <v>87729.23076923078</v>
      </c>
    </row>
    <row r="295" spans="1:6" ht="19.5">
      <c r="A295" s="92"/>
      <c r="B295" s="48" t="str">
        <f>'[1]Emulsion Paint'!$B$21</f>
        <v>Colle</v>
      </c>
      <c r="C295" s="44" t="s">
        <v>69</v>
      </c>
      <c r="D295" s="131">
        <f>D289*((1/65)*2)</f>
        <v>2.6584615384615389</v>
      </c>
      <c r="E295" s="131">
        <v>3500</v>
      </c>
      <c r="F295" s="153">
        <f t="shared" si="14"/>
        <v>9304.6153846153866</v>
      </c>
    </row>
    <row r="296" spans="1:6" ht="19.5">
      <c r="A296" s="92"/>
      <c r="B296" s="48" t="str">
        <f>'[1]Emulsion Paint'!$B$24</f>
        <v>Roller</v>
      </c>
      <c r="C296" s="44" t="s">
        <v>44</v>
      </c>
      <c r="D296" s="116">
        <f>D289/100</f>
        <v>0.8640000000000001</v>
      </c>
      <c r="E296" s="131">
        <v>3500</v>
      </c>
      <c r="F296" s="153">
        <f t="shared" si="14"/>
        <v>3024.0000000000005</v>
      </c>
    </row>
    <row r="297" spans="1:6" ht="19.5">
      <c r="A297" s="92"/>
      <c r="B297" s="48" t="str">
        <f>'[1]Emulsion Paint'!$B$23</f>
        <v>Brush</v>
      </c>
      <c r="C297" s="44" t="s">
        <v>44</v>
      </c>
      <c r="D297" s="116">
        <f>D289/100</f>
        <v>0.8640000000000001</v>
      </c>
      <c r="E297" s="131">
        <v>3500</v>
      </c>
      <c r="F297" s="153">
        <f t="shared" si="14"/>
        <v>3024.0000000000005</v>
      </c>
    </row>
    <row r="298" spans="1:6" ht="19.5">
      <c r="A298" s="92"/>
      <c r="B298" s="48" t="s">
        <v>58</v>
      </c>
      <c r="C298" s="44" t="s">
        <v>59</v>
      </c>
      <c r="D298" s="116">
        <f>D289/100</f>
        <v>0.8640000000000001</v>
      </c>
      <c r="E298" s="131">
        <v>3500</v>
      </c>
      <c r="F298" s="153">
        <f t="shared" si="14"/>
        <v>3024.0000000000005</v>
      </c>
    </row>
    <row r="299" spans="1:6" ht="19.5">
      <c r="A299" s="93"/>
      <c r="B299" s="60" t="s">
        <v>5</v>
      </c>
      <c r="C299" s="61"/>
      <c r="D299" s="119"/>
      <c r="E299" s="131"/>
      <c r="F299" s="160">
        <f>SUM(F291:F298)</f>
        <v>339411.44615384616</v>
      </c>
    </row>
    <row r="300" spans="1:6" ht="19.5">
      <c r="A300" s="92"/>
      <c r="B300" s="48"/>
      <c r="C300" s="44"/>
      <c r="D300" s="116"/>
      <c r="F300" s="153"/>
    </row>
    <row r="301" spans="1:6" ht="19.5">
      <c r="A301" s="92"/>
      <c r="B301" s="60" t="s">
        <v>6</v>
      </c>
      <c r="C301" s="44"/>
      <c r="D301" s="131"/>
      <c r="F301" s="153"/>
    </row>
    <row r="302" spans="1:6" ht="19.5">
      <c r="A302" s="92"/>
      <c r="B302" s="48" t="s">
        <v>7</v>
      </c>
      <c r="C302" s="44" t="s">
        <v>62</v>
      </c>
      <c r="D302" s="131">
        <f>D303</f>
        <v>6.3719999999999999</v>
      </c>
      <c r="E302" s="131">
        <v>4500</v>
      </c>
      <c r="F302" s="153">
        <f>E302*D302</f>
        <v>28674</v>
      </c>
    </row>
    <row r="303" spans="1:6" ht="19.5">
      <c r="A303" s="92"/>
      <c r="B303" s="48" t="s">
        <v>70</v>
      </c>
      <c r="C303" s="44" t="s">
        <v>62</v>
      </c>
      <c r="D303" s="131">
        <f>D289*(0.59/8)</f>
        <v>6.3719999999999999</v>
      </c>
      <c r="E303" s="131">
        <v>4800</v>
      </c>
      <c r="F303" s="153">
        <f>E303*D303</f>
        <v>30585.599999999999</v>
      </c>
    </row>
    <row r="304" spans="1:6" ht="19.5">
      <c r="A304" s="93"/>
      <c r="B304" s="60" t="s">
        <v>54</v>
      </c>
      <c r="C304" s="61"/>
      <c r="D304" s="133"/>
      <c r="E304" s="133"/>
      <c r="F304" s="160">
        <f>SUM(F302:F303)</f>
        <v>59259.6</v>
      </c>
    </row>
    <row r="305" spans="1:6" ht="19.5">
      <c r="A305" s="93"/>
      <c r="B305" s="60"/>
      <c r="C305" s="61"/>
      <c r="D305" s="133"/>
      <c r="E305" s="133"/>
      <c r="F305" s="160"/>
    </row>
    <row r="306" spans="1:6" ht="37.5" customHeight="1">
      <c r="A306" s="315">
        <v>17</v>
      </c>
      <c r="B306" s="471" t="s">
        <v>133</v>
      </c>
      <c r="C306" s="471"/>
      <c r="D306" s="471"/>
      <c r="E306" s="471"/>
      <c r="F306" s="472"/>
    </row>
    <row r="307" spans="1:6" ht="19.5">
      <c r="A307" s="1">
        <v>17.010000000000002</v>
      </c>
      <c r="B307" s="2" t="s">
        <v>172</v>
      </c>
      <c r="C307" s="270" t="s">
        <v>131</v>
      </c>
      <c r="D307" s="268">
        <v>1</v>
      </c>
      <c r="E307" s="115">
        <f>(F315+F310)/D307</f>
        <v>12600.000000000002</v>
      </c>
      <c r="F307" s="158">
        <f>E307*D307</f>
        <v>12600.000000000002</v>
      </c>
    </row>
    <row r="308" spans="1:6" ht="19.5">
      <c r="A308" s="227"/>
      <c r="B308" s="8" t="s">
        <v>29</v>
      </c>
      <c r="C308" s="9"/>
      <c r="D308" s="131"/>
      <c r="E308" s="131"/>
      <c r="F308" s="153"/>
    </row>
    <row r="309" spans="1:6" ht="19.5">
      <c r="A309" s="86"/>
      <c r="B309" s="13" t="s">
        <v>145</v>
      </c>
      <c r="C309" s="9" t="s">
        <v>146</v>
      </c>
      <c r="D309" s="131">
        <v>1</v>
      </c>
      <c r="E309" s="131">
        <f>35000*(0.4*0.45)</f>
        <v>6300.0000000000009</v>
      </c>
      <c r="F309" s="153">
        <f>E309*D309</f>
        <v>6300.0000000000009</v>
      </c>
    </row>
    <row r="310" spans="1:6" ht="19.5">
      <c r="A310" s="87"/>
      <c r="B310" s="8" t="s">
        <v>5</v>
      </c>
      <c r="C310" s="12"/>
      <c r="D310" s="133"/>
      <c r="E310" s="133"/>
      <c r="F310" s="160">
        <f>SUM(F309)</f>
        <v>6300.0000000000009</v>
      </c>
    </row>
    <row r="311" spans="1:6" ht="19.5">
      <c r="A311" s="86"/>
      <c r="B311" s="13"/>
      <c r="C311" s="9"/>
      <c r="D311" s="131"/>
      <c r="E311" s="131"/>
      <c r="F311" s="153"/>
    </row>
    <row r="312" spans="1:6" ht="19.5">
      <c r="A312" s="228"/>
      <c r="B312" s="8" t="s">
        <v>33</v>
      </c>
      <c r="C312" s="9"/>
      <c r="D312" s="131"/>
      <c r="E312" s="131"/>
      <c r="F312" s="153"/>
    </row>
    <row r="313" spans="1:6" ht="19.5">
      <c r="A313" s="86"/>
      <c r="B313" s="13" t="s">
        <v>34</v>
      </c>
      <c r="C313" s="9" t="s">
        <v>21</v>
      </c>
      <c r="D313" s="116">
        <f>D307/1</f>
        <v>1</v>
      </c>
      <c r="E313" s="131">
        <f>E309*0.25</f>
        <v>1575.0000000000002</v>
      </c>
      <c r="F313" s="153">
        <f>E313*D313</f>
        <v>1575.0000000000002</v>
      </c>
    </row>
    <row r="314" spans="1:6" ht="19.5">
      <c r="A314" s="86"/>
      <c r="B314" s="13" t="s">
        <v>7</v>
      </c>
      <c r="C314" s="9" t="s">
        <v>21</v>
      </c>
      <c r="D314" s="116">
        <f>+D313*4</f>
        <v>4</v>
      </c>
      <c r="E314" s="131">
        <f>E313*1.5/2</f>
        <v>1181.2500000000002</v>
      </c>
      <c r="F314" s="153">
        <f>E314*D314</f>
        <v>4725.0000000000009</v>
      </c>
    </row>
    <row r="315" spans="1:6" ht="19.5">
      <c r="A315" s="87"/>
      <c r="B315" s="8" t="s">
        <v>39</v>
      </c>
      <c r="C315" s="12"/>
      <c r="D315" s="133"/>
      <c r="E315" s="133"/>
      <c r="F315" s="160">
        <f>SUM(F313:F314)</f>
        <v>6300.0000000000009</v>
      </c>
    </row>
    <row r="316" spans="1:6">
      <c r="A316" s="316"/>
      <c r="B316" s="48"/>
      <c r="C316" s="305"/>
      <c r="D316" s="317"/>
      <c r="E316" s="307"/>
      <c r="F316" s="308"/>
    </row>
    <row r="317" spans="1:6" ht="36.75" customHeight="1">
      <c r="A317" s="315">
        <v>18</v>
      </c>
      <c r="B317" s="471" t="s">
        <v>134</v>
      </c>
      <c r="C317" s="471"/>
      <c r="D317" s="471"/>
      <c r="E317" s="471"/>
      <c r="F317" s="472"/>
    </row>
    <row r="318" spans="1:6" ht="19.5">
      <c r="A318" s="1">
        <v>18.010000000000002</v>
      </c>
      <c r="B318" s="2" t="s">
        <v>171</v>
      </c>
      <c r="C318" s="270" t="s">
        <v>131</v>
      </c>
      <c r="D318" s="268">
        <v>5</v>
      </c>
      <c r="E318" s="282">
        <f>(F326+F321)/D318</f>
        <v>131040.00000000003</v>
      </c>
      <c r="F318" s="318">
        <f>E318*D318</f>
        <v>655200.00000000012</v>
      </c>
    </row>
    <row r="319" spans="1:6" ht="19.5">
      <c r="A319" s="227"/>
      <c r="B319" s="8" t="s">
        <v>29</v>
      </c>
      <c r="C319" s="9"/>
      <c r="D319" s="131"/>
      <c r="E319" s="131"/>
      <c r="F319" s="153"/>
    </row>
    <row r="320" spans="1:6" ht="19.5">
      <c r="A320" s="86"/>
      <c r="B320" s="48" t="s">
        <v>170</v>
      </c>
      <c r="C320" s="248" t="s">
        <v>131</v>
      </c>
      <c r="D320" s="267">
        <v>5</v>
      </c>
      <c r="E320" s="131">
        <f>65000*(0.8*2.1)</f>
        <v>109200.00000000001</v>
      </c>
      <c r="F320" s="310">
        <f>E320*D320</f>
        <v>546000.00000000012</v>
      </c>
    </row>
    <row r="321" spans="1:6" ht="19.5">
      <c r="A321" s="87"/>
      <c r="B321" s="8" t="s">
        <v>5</v>
      </c>
      <c r="C321" s="12"/>
      <c r="D321" s="133"/>
      <c r="E321" s="133"/>
      <c r="F321" s="160">
        <f>SUM(F320)</f>
        <v>546000.00000000012</v>
      </c>
    </row>
    <row r="322" spans="1:6" ht="19.5">
      <c r="A322" s="86"/>
      <c r="B322" s="13"/>
      <c r="C322" s="9"/>
      <c r="D322" s="131"/>
      <c r="E322" s="131"/>
      <c r="F322" s="153"/>
    </row>
    <row r="323" spans="1:6" ht="19.5">
      <c r="A323" s="228"/>
      <c r="B323" s="8" t="s">
        <v>33</v>
      </c>
      <c r="C323" s="9"/>
      <c r="D323" s="131"/>
      <c r="E323" s="131"/>
      <c r="F323" s="153"/>
    </row>
    <row r="324" spans="1:6" ht="19.5">
      <c r="A324" s="86"/>
      <c r="B324" s="13" t="s">
        <v>34</v>
      </c>
      <c r="C324" s="9" t="s">
        <v>21</v>
      </c>
      <c r="D324" s="116">
        <f>D318/2</f>
        <v>2.5</v>
      </c>
      <c r="E324" s="131">
        <f>E320*0.1</f>
        <v>10920.000000000002</v>
      </c>
      <c r="F324" s="153">
        <f>E324*D324</f>
        <v>27300.000000000004</v>
      </c>
    </row>
    <row r="325" spans="1:6" ht="19.5">
      <c r="A325" s="86"/>
      <c r="B325" s="13" t="s">
        <v>7</v>
      </c>
      <c r="C325" s="9" t="s">
        <v>21</v>
      </c>
      <c r="D325" s="116">
        <f>+D324*4</f>
        <v>10</v>
      </c>
      <c r="E325" s="131">
        <f>E324*1.5/2</f>
        <v>8190.0000000000018</v>
      </c>
      <c r="F325" s="153">
        <f>E325*D325</f>
        <v>81900.000000000015</v>
      </c>
    </row>
    <row r="326" spans="1:6" ht="19.5">
      <c r="A326" s="87"/>
      <c r="B326" s="8" t="s">
        <v>39</v>
      </c>
      <c r="C326" s="12"/>
      <c r="D326" s="133"/>
      <c r="E326" s="133"/>
      <c r="F326" s="160">
        <f>SUM(F324:F325)</f>
        <v>109200.00000000001</v>
      </c>
    </row>
    <row r="327" spans="1:6" ht="19.5">
      <c r="A327" s="1">
        <v>18.02</v>
      </c>
      <c r="B327" s="2" t="s">
        <v>169</v>
      </c>
      <c r="C327" s="270" t="s">
        <v>131</v>
      </c>
      <c r="D327" s="268">
        <v>1</v>
      </c>
      <c r="E327" s="282">
        <f>(F335+F330)/D327</f>
        <v>147420.00000000003</v>
      </c>
      <c r="F327" s="318">
        <f>E327*D327</f>
        <v>147420.00000000003</v>
      </c>
    </row>
    <row r="328" spans="1:6" ht="19.5">
      <c r="A328" s="227"/>
      <c r="B328" s="8" t="s">
        <v>29</v>
      </c>
      <c r="C328" s="9"/>
      <c r="D328" s="131"/>
      <c r="E328" s="131"/>
      <c r="F328" s="153"/>
    </row>
    <row r="329" spans="1:6" ht="19.5">
      <c r="A329" s="86"/>
      <c r="B329" s="48" t="s">
        <v>165</v>
      </c>
      <c r="C329" s="248" t="s">
        <v>131</v>
      </c>
      <c r="D329" s="267">
        <v>1</v>
      </c>
      <c r="E329" s="131">
        <f>65000*(0.9*2.1)</f>
        <v>122850.00000000001</v>
      </c>
      <c r="F329" s="310">
        <f>E329*D329</f>
        <v>122850.00000000001</v>
      </c>
    </row>
    <row r="330" spans="1:6" ht="19.5">
      <c r="A330" s="87"/>
      <c r="B330" s="8" t="s">
        <v>5</v>
      </c>
      <c r="C330" s="12"/>
      <c r="D330" s="133"/>
      <c r="E330" s="133"/>
      <c r="F330" s="160">
        <f>SUM(F329)</f>
        <v>122850.00000000001</v>
      </c>
    </row>
    <row r="331" spans="1:6" ht="19.5">
      <c r="A331" s="86"/>
      <c r="B331" s="13"/>
      <c r="C331" s="9"/>
      <c r="D331" s="131"/>
      <c r="E331" s="131"/>
      <c r="F331" s="153"/>
    </row>
    <row r="332" spans="1:6" ht="19.5">
      <c r="A332" s="228"/>
      <c r="B332" s="8" t="s">
        <v>33</v>
      </c>
      <c r="C332" s="9"/>
      <c r="D332" s="131"/>
      <c r="E332" s="131"/>
      <c r="F332" s="153"/>
    </row>
    <row r="333" spans="1:6" ht="19.5">
      <c r="A333" s="86"/>
      <c r="B333" s="13" t="s">
        <v>34</v>
      </c>
      <c r="C333" s="9" t="s">
        <v>21</v>
      </c>
      <c r="D333" s="116">
        <f>D327/2</f>
        <v>0.5</v>
      </c>
      <c r="E333" s="131">
        <f>E329*0.1</f>
        <v>12285.000000000002</v>
      </c>
      <c r="F333" s="153">
        <f>E333*D333</f>
        <v>6142.5000000000009</v>
      </c>
    </row>
    <row r="334" spans="1:6" ht="19.5">
      <c r="A334" s="86"/>
      <c r="B334" s="13" t="s">
        <v>7</v>
      </c>
      <c r="C334" s="9" t="s">
        <v>21</v>
      </c>
      <c r="D334" s="116">
        <f>+D333*4</f>
        <v>2</v>
      </c>
      <c r="E334" s="131">
        <f>E333*1.5/2</f>
        <v>9213.7500000000018</v>
      </c>
      <c r="F334" s="153">
        <f>E334*D334</f>
        <v>18427.500000000004</v>
      </c>
    </row>
    <row r="335" spans="1:6" ht="19.5">
      <c r="A335" s="168"/>
      <c r="B335" s="8" t="s">
        <v>39</v>
      </c>
      <c r="C335" s="12"/>
      <c r="D335" s="133"/>
      <c r="E335" s="133"/>
      <c r="F335" s="160">
        <f>SUM(F333:F334)</f>
        <v>24570.000000000004</v>
      </c>
    </row>
    <row r="336" spans="1:6" s="376" customFormat="1" ht="39">
      <c r="A336" s="197">
        <v>19.010000000000002</v>
      </c>
      <c r="B336" s="16" t="s">
        <v>196</v>
      </c>
      <c r="C336" s="3" t="s">
        <v>50</v>
      </c>
      <c r="D336" s="17">
        <f>(3*5)+(5*2.5*2)+(2.1*2.5)+(3*2.5)</f>
        <v>52.75</v>
      </c>
      <c r="E336" s="3">
        <f>(F349+F344)/D336</f>
        <v>23784.689731913219</v>
      </c>
      <c r="F336" s="301">
        <f>E336*D336</f>
        <v>1254642.3833584222</v>
      </c>
    </row>
    <row r="337" spans="1:6">
      <c r="A337" s="304"/>
      <c r="B337" s="13"/>
      <c r="C337" s="9"/>
      <c r="D337" s="24">
        <f>D336*0.016</f>
        <v>0.84399999999999997</v>
      </c>
      <c r="E337" s="9"/>
      <c r="F337" s="378"/>
    </row>
    <row r="338" spans="1:6" ht="16.5">
      <c r="A338" s="304"/>
      <c r="B338" s="60" t="s">
        <v>51</v>
      </c>
      <c r="C338" s="44"/>
      <c r="D338" s="9"/>
      <c r="E338" s="9"/>
      <c r="F338" s="349"/>
    </row>
    <row r="339" spans="1:6">
      <c r="A339" s="304"/>
      <c r="B339" s="48" t="s">
        <v>191</v>
      </c>
      <c r="C339" s="23" t="s">
        <v>1</v>
      </c>
      <c r="D339" s="24">
        <f>D336*1.2</f>
        <v>63.3</v>
      </c>
      <c r="E339" s="24">
        <v>13500</v>
      </c>
      <c r="F339" s="349">
        <f>E339*D339</f>
        <v>854550</v>
      </c>
    </row>
    <row r="340" spans="1:6">
      <c r="A340" s="304"/>
      <c r="B340" s="21" t="s">
        <v>41</v>
      </c>
      <c r="C340" s="23" t="s">
        <v>31</v>
      </c>
      <c r="D340" s="24">
        <f>D337*1.57*(1/5)*1440/50</f>
        <v>7.6324608000000014</v>
      </c>
      <c r="E340" s="9">
        <v>11200</v>
      </c>
      <c r="F340" s="349">
        <f t="shared" ref="F340:F343" si="15">E340*D340</f>
        <v>85483.560960000017</v>
      </c>
    </row>
    <row r="341" spans="1:6">
      <c r="B341" s="269" t="s">
        <v>192</v>
      </c>
      <c r="C341" s="147" t="s">
        <v>28</v>
      </c>
      <c r="D341" s="232">
        <f>D337*1.57*(4/5)</f>
        <v>1.0600640000000001</v>
      </c>
      <c r="E341" s="377">
        <v>34500</v>
      </c>
      <c r="F341" s="349">
        <f t="shared" si="15"/>
        <v>36572.208000000006</v>
      </c>
    </row>
    <row r="342" spans="1:6">
      <c r="B342" s="21" t="s">
        <v>193</v>
      </c>
      <c r="C342" s="23" t="s">
        <v>4</v>
      </c>
      <c r="D342" s="24">
        <f>D337*40</f>
        <v>33.76</v>
      </c>
      <c r="E342" s="24">
        <v>800</v>
      </c>
      <c r="F342" s="349">
        <f t="shared" si="15"/>
        <v>27008</v>
      </c>
    </row>
    <row r="343" spans="1:6">
      <c r="B343" s="21" t="s">
        <v>194</v>
      </c>
      <c r="C343" s="23" t="s">
        <v>195</v>
      </c>
      <c r="D343" s="24">
        <f>D339/84.5</f>
        <v>0.74911242603550288</v>
      </c>
      <c r="E343" s="24">
        <v>2500</v>
      </c>
      <c r="F343" s="349">
        <f t="shared" si="15"/>
        <v>1872.7810650887573</v>
      </c>
    </row>
    <row r="344" spans="1:6" s="63" customFormat="1" ht="16.5">
      <c r="A344" s="320"/>
      <c r="B344" s="22" t="s">
        <v>39</v>
      </c>
      <c r="C344" s="28"/>
      <c r="D344" s="29"/>
      <c r="E344" s="29"/>
      <c r="F344" s="62">
        <f>SUM(F339:F343)</f>
        <v>1005486.5500250888</v>
      </c>
    </row>
    <row r="345" spans="1:6">
      <c r="B345" s="48"/>
      <c r="C345" s="44"/>
      <c r="D345" s="24"/>
      <c r="E345" s="9"/>
      <c r="F345" s="46"/>
    </row>
    <row r="346" spans="1:6" ht="16.5">
      <c r="B346" s="60" t="s">
        <v>53</v>
      </c>
      <c r="C346" s="44"/>
      <c r="D346" s="9"/>
      <c r="E346" s="9"/>
      <c r="F346" s="46"/>
    </row>
    <row r="347" spans="1:6">
      <c r="B347" s="48" t="s">
        <v>34</v>
      </c>
      <c r="C347" s="44" t="s">
        <v>8</v>
      </c>
      <c r="D347" s="24">
        <f>D336/6</f>
        <v>8.7916666666666661</v>
      </c>
      <c r="E347" s="24">
        <v>6285</v>
      </c>
      <c r="F347" s="46">
        <f>E347*D347</f>
        <v>55255.624999999993</v>
      </c>
    </row>
    <row r="348" spans="1:6">
      <c r="B348" s="48" t="s">
        <v>7</v>
      </c>
      <c r="C348" s="44" t="s">
        <v>8</v>
      </c>
      <c r="D348" s="9">
        <f>D347*4</f>
        <v>35.166666666666664</v>
      </c>
      <c r="E348" s="24">
        <v>5513.75</v>
      </c>
      <c r="F348" s="46">
        <f>E348*D348</f>
        <v>193900.20833333331</v>
      </c>
    </row>
    <row r="349" spans="1:6" s="63" customFormat="1" ht="16.5">
      <c r="A349" s="320"/>
      <c r="B349" s="371" t="s">
        <v>119</v>
      </c>
      <c r="C349" s="372"/>
      <c r="D349" s="373"/>
      <c r="E349" s="374"/>
      <c r="F349" s="375">
        <f>SUM(F347:F348)</f>
        <v>249155.83333333331</v>
      </c>
    </row>
    <row r="350" spans="1:6">
      <c r="B350" s="366"/>
      <c r="C350" s="367"/>
      <c r="D350" s="368"/>
      <c r="E350" s="369"/>
      <c r="F350" s="370"/>
    </row>
    <row r="351" spans="1:6" ht="37.5">
      <c r="B351" s="473" t="s">
        <v>179</v>
      </c>
      <c r="C351" s="473"/>
      <c r="D351" s="473"/>
      <c r="E351" s="473"/>
      <c r="F351" s="339">
        <f>F327+F318+F307+F289+F276+F259+F247+F235+F216+F196+F182+F171+F160+F147+F136+F125+F112+F100+F89+F78+F58+F40+F30+F22+F14+F7+F3+F336</f>
        <v>5186902.4611465493</v>
      </c>
    </row>
  </sheetData>
  <mergeCells count="15">
    <mergeCell ref="B306:F306"/>
    <mergeCell ref="B317:F317"/>
    <mergeCell ref="B351:E351"/>
    <mergeCell ref="B2:F2"/>
    <mergeCell ref="B13:F13"/>
    <mergeCell ref="B39:F39"/>
    <mergeCell ref="B77:F77"/>
    <mergeCell ref="B124:F124"/>
    <mergeCell ref="B288:F288"/>
    <mergeCell ref="B246:F246"/>
    <mergeCell ref="B159:F159"/>
    <mergeCell ref="B181:F181"/>
    <mergeCell ref="B195:F195"/>
    <mergeCell ref="B215:F215"/>
    <mergeCell ref="B275:F275"/>
  </mergeCells>
  <pageMargins left="0.7" right="0.7" top="0.75" bottom="0.75" header="0.3" footer="0.3"/>
  <ignoredErrors>
    <ignoredError sqref="F6 F21 F29 F57 F88 F99 F135 F146 F170 F326 F335" formula="1"/>
  </ignoredErrors>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28"/>
  <sheetViews>
    <sheetView topLeftCell="A317" workbookViewId="0">
      <selection activeCell="F328" sqref="F328"/>
    </sheetView>
  </sheetViews>
  <sheetFormatPr defaultColWidth="8.85546875" defaultRowHeight="16.5"/>
  <cols>
    <col min="1" max="1" width="8.85546875" style="83"/>
    <col min="2" max="2" width="66.85546875" style="106" customWidth="1"/>
    <col min="3" max="3" width="8.85546875" style="108"/>
    <col min="4" max="4" width="16.42578125" style="247" customWidth="1"/>
    <col min="5" max="5" width="21.5703125" style="281" customWidth="1"/>
    <col min="6" max="6" width="30" style="281" customWidth="1"/>
  </cols>
  <sheetData>
    <row r="1" spans="1:6" s="225" customFormat="1" ht="30.75" customHeight="1">
      <c r="A1" s="224"/>
      <c r="B1" s="148" t="s">
        <v>120</v>
      </c>
      <c r="C1" s="148" t="s">
        <v>121</v>
      </c>
      <c r="D1" s="319" t="s">
        <v>122</v>
      </c>
      <c r="E1" s="297" t="s">
        <v>123</v>
      </c>
      <c r="F1" s="299" t="s">
        <v>124</v>
      </c>
    </row>
    <row r="2" spans="1:6" ht="19.7" customHeight="1">
      <c r="A2" s="149">
        <v>1</v>
      </c>
      <c r="B2" s="474" t="s">
        <v>93</v>
      </c>
      <c r="C2" s="474"/>
      <c r="D2" s="474"/>
      <c r="E2" s="474"/>
      <c r="F2" s="475"/>
    </row>
    <row r="3" spans="1:6" ht="18.75" customHeight="1">
      <c r="A3" s="150">
        <v>1.01</v>
      </c>
      <c r="B3" s="16" t="s">
        <v>94</v>
      </c>
      <c r="C3" s="35" t="s">
        <v>28</v>
      </c>
      <c r="D3" s="123">
        <f>23*0.8*0.4</f>
        <v>7.3600000000000012</v>
      </c>
      <c r="E3" s="136">
        <f>F5/D3</f>
        <v>2000</v>
      </c>
      <c r="F3" s="151">
        <f>E3*D3</f>
        <v>14720.000000000002</v>
      </c>
    </row>
    <row r="4" spans="1:6" ht="18.75" customHeight="1">
      <c r="A4" s="152"/>
      <c r="B4" s="8" t="s">
        <v>6</v>
      </c>
      <c r="C4" s="9"/>
      <c r="D4" s="116"/>
      <c r="E4" s="131"/>
      <c r="F4" s="153"/>
    </row>
    <row r="5" spans="1:6" s="63" customFormat="1" ht="18.75" customHeight="1">
      <c r="A5" s="152"/>
      <c r="B5" s="13" t="s">
        <v>7</v>
      </c>
      <c r="C5" s="9" t="s">
        <v>8</v>
      </c>
      <c r="D5" s="116">
        <f>D3/0.9</f>
        <v>8.1777777777777789</v>
      </c>
      <c r="E5" s="131">
        <v>1800</v>
      </c>
      <c r="F5" s="153">
        <f>E5*D5</f>
        <v>14720.000000000002</v>
      </c>
    </row>
    <row r="6" spans="1:6" ht="18.75" customHeight="1">
      <c r="A6" s="154"/>
      <c r="B6" s="60" t="s">
        <v>9</v>
      </c>
      <c r="C6" s="61"/>
      <c r="D6" s="118"/>
      <c r="E6" s="275"/>
      <c r="F6" s="285"/>
    </row>
    <row r="7" spans="1:6" ht="18.75" customHeight="1">
      <c r="A7" s="150">
        <v>1.03</v>
      </c>
      <c r="B7" s="16" t="s">
        <v>114</v>
      </c>
      <c r="C7" s="35" t="s">
        <v>28</v>
      </c>
      <c r="D7" s="123">
        <f>(0.75*0.75*1.25)*5</f>
        <v>3.515625</v>
      </c>
      <c r="E7" s="136">
        <f>F11/D7</f>
        <v>1422.2222222222222</v>
      </c>
      <c r="F7" s="151">
        <f>E7*D7</f>
        <v>5000</v>
      </c>
    </row>
    <row r="8" spans="1:6" ht="18.75" customHeight="1">
      <c r="A8" s="152"/>
      <c r="B8" s="8" t="s">
        <v>6</v>
      </c>
      <c r="C8" s="9"/>
      <c r="D8" s="116"/>
      <c r="E8" s="131"/>
      <c r="F8" s="153"/>
    </row>
    <row r="9" spans="1:6" ht="18.75" customHeight="1">
      <c r="A9" s="152"/>
      <c r="B9" s="13" t="s">
        <v>92</v>
      </c>
      <c r="C9" s="9" t="s">
        <v>8</v>
      </c>
      <c r="D9" s="116">
        <f>D10/10</f>
        <v>0.390625</v>
      </c>
      <c r="E9" s="131">
        <v>2300</v>
      </c>
      <c r="F9" s="153">
        <f>E9*D9</f>
        <v>898.4375</v>
      </c>
    </row>
    <row r="10" spans="1:6" ht="18.75" customHeight="1">
      <c r="A10" s="152"/>
      <c r="B10" s="13" t="s">
        <v>7</v>
      </c>
      <c r="C10" s="9" t="s">
        <v>8</v>
      </c>
      <c r="D10" s="116">
        <f>D7/0.9</f>
        <v>3.90625</v>
      </c>
      <c r="E10" s="131">
        <v>1050</v>
      </c>
      <c r="F10" s="153">
        <f>E10*D10</f>
        <v>4101.5625</v>
      </c>
    </row>
    <row r="11" spans="1:6" ht="18.75" customHeight="1">
      <c r="A11" s="154"/>
      <c r="B11" s="60" t="s">
        <v>9</v>
      </c>
      <c r="C11" s="61"/>
      <c r="D11" s="118"/>
      <c r="E11" s="275"/>
      <c r="F11" s="285">
        <f>SUM(F9:F10)</f>
        <v>5000</v>
      </c>
    </row>
    <row r="12" spans="1:6" ht="18.75" customHeight="1">
      <c r="A12" s="155"/>
      <c r="B12" s="60"/>
      <c r="C12" s="44"/>
      <c r="D12" s="125"/>
      <c r="E12" s="276"/>
      <c r="F12" s="286"/>
    </row>
    <row r="13" spans="1:6" ht="36.75" customHeight="1">
      <c r="A13" s="156">
        <v>2</v>
      </c>
      <c r="B13" s="476" t="s">
        <v>0</v>
      </c>
      <c r="C13" s="476"/>
      <c r="D13" s="476"/>
      <c r="E13" s="476"/>
      <c r="F13" s="477"/>
    </row>
    <row r="14" spans="1:6" s="63" customFormat="1" ht="18.75" customHeight="1">
      <c r="A14" s="157">
        <v>2.0099999999999998</v>
      </c>
      <c r="B14" s="2" t="s">
        <v>71</v>
      </c>
      <c r="C14" s="3" t="s">
        <v>1</v>
      </c>
      <c r="D14" s="115">
        <f>23*0.4</f>
        <v>9.2000000000000011</v>
      </c>
      <c r="E14" s="132">
        <f>(F21+F17)/D14</f>
        <v>658.33333333333337</v>
      </c>
      <c r="F14" s="158">
        <f>E14*D14</f>
        <v>6056.6666666666679</v>
      </c>
    </row>
    <row r="15" spans="1:6" ht="18.75" customHeight="1">
      <c r="A15" s="152"/>
      <c r="B15" s="8" t="s">
        <v>2</v>
      </c>
      <c r="C15" s="9"/>
      <c r="D15" s="116"/>
      <c r="E15" s="131"/>
      <c r="F15" s="153"/>
    </row>
    <row r="16" spans="1:6" s="82" customFormat="1" ht="19.5" customHeight="1">
      <c r="A16" s="152"/>
      <c r="B16" s="48" t="s">
        <v>3</v>
      </c>
      <c r="C16" s="9" t="s">
        <v>4</v>
      </c>
      <c r="D16" s="116">
        <f>D14/10</f>
        <v>0.92000000000000015</v>
      </c>
      <c r="E16" s="131">
        <v>5500</v>
      </c>
      <c r="F16" s="153">
        <f>E16*D16</f>
        <v>5060.0000000000009</v>
      </c>
    </row>
    <row r="17" spans="1:6" ht="18.75" customHeight="1">
      <c r="A17" s="159"/>
      <c r="B17" s="60" t="s">
        <v>5</v>
      </c>
      <c r="C17" s="12"/>
      <c r="D17" s="119"/>
      <c r="E17" s="133"/>
      <c r="F17" s="160">
        <f>SUM(F16)</f>
        <v>5060.0000000000009</v>
      </c>
    </row>
    <row r="18" spans="1:6" ht="18.75" customHeight="1">
      <c r="A18" s="152"/>
      <c r="B18" s="48"/>
      <c r="C18" s="9"/>
      <c r="D18" s="116"/>
      <c r="E18" s="131"/>
      <c r="F18" s="153"/>
    </row>
    <row r="19" spans="1:6" ht="18.75" customHeight="1">
      <c r="A19" s="152"/>
      <c r="B19" s="8" t="s">
        <v>6</v>
      </c>
      <c r="C19" s="9"/>
      <c r="D19" s="116"/>
      <c r="E19" s="131"/>
      <c r="F19" s="153"/>
    </row>
    <row r="20" spans="1:6" ht="18.75" customHeight="1">
      <c r="A20" s="152"/>
      <c r="B20" s="13" t="s">
        <v>7</v>
      </c>
      <c r="C20" s="9" t="s">
        <v>8</v>
      </c>
      <c r="D20" s="116">
        <f>D14/60</f>
        <v>0.15333333333333335</v>
      </c>
      <c r="E20" s="131">
        <v>6500</v>
      </c>
      <c r="F20" s="153">
        <f>E20*D20</f>
        <v>996.66666666666674</v>
      </c>
    </row>
    <row r="21" spans="1:6" ht="18.75" customHeight="1">
      <c r="A21" s="154"/>
      <c r="B21" s="60" t="s">
        <v>9</v>
      </c>
      <c r="C21" s="61"/>
      <c r="D21" s="118"/>
      <c r="E21" s="275"/>
      <c r="F21" s="285">
        <f>SUM(F20)</f>
        <v>996.66666666666674</v>
      </c>
    </row>
    <row r="22" spans="1:6" ht="18.75" customHeight="1">
      <c r="A22" s="157">
        <v>2.02</v>
      </c>
      <c r="B22" s="2" t="s">
        <v>97</v>
      </c>
      <c r="C22" s="3" t="s">
        <v>1</v>
      </c>
      <c r="D22" s="115">
        <v>30</v>
      </c>
      <c r="E22" s="132">
        <f>(F29+F25)/D22</f>
        <v>958.33333333333337</v>
      </c>
      <c r="F22" s="158">
        <f>E22*D22</f>
        <v>28750</v>
      </c>
    </row>
    <row r="23" spans="1:6" ht="18.75" customHeight="1">
      <c r="A23" s="152"/>
      <c r="B23" s="8" t="s">
        <v>2</v>
      </c>
      <c r="C23" s="9"/>
      <c r="D23" s="116"/>
      <c r="E23" s="131"/>
      <c r="F23" s="153"/>
    </row>
    <row r="24" spans="1:6" ht="18.75" customHeight="1">
      <c r="A24" s="152"/>
      <c r="B24" s="48" t="s">
        <v>3</v>
      </c>
      <c r="C24" s="9" t="s">
        <v>4</v>
      </c>
      <c r="D24" s="116">
        <f>D22/10</f>
        <v>3</v>
      </c>
      <c r="E24" s="131">
        <v>8500</v>
      </c>
      <c r="F24" s="153">
        <f>E24*D24</f>
        <v>25500</v>
      </c>
    </row>
    <row r="25" spans="1:6" ht="18.75" customHeight="1">
      <c r="A25" s="159"/>
      <c r="B25" s="60" t="s">
        <v>5</v>
      </c>
      <c r="C25" s="12"/>
      <c r="D25" s="119"/>
      <c r="E25" s="133"/>
      <c r="F25" s="160">
        <f>SUM(F24)</f>
        <v>25500</v>
      </c>
    </row>
    <row r="26" spans="1:6" ht="18.75" customHeight="1">
      <c r="A26" s="152"/>
      <c r="B26" s="48"/>
      <c r="C26" s="9"/>
      <c r="D26" s="116"/>
      <c r="E26" s="131"/>
      <c r="F26" s="153"/>
    </row>
    <row r="27" spans="1:6" ht="18.75" customHeight="1">
      <c r="A27" s="152"/>
      <c r="B27" s="8" t="s">
        <v>6</v>
      </c>
      <c r="C27" s="9"/>
      <c r="D27" s="116"/>
      <c r="E27" s="131"/>
      <c r="F27" s="153"/>
    </row>
    <row r="28" spans="1:6" ht="18.75" customHeight="1">
      <c r="A28" s="152"/>
      <c r="B28" s="13" t="s">
        <v>7</v>
      </c>
      <c r="C28" s="9" t="s">
        <v>8</v>
      </c>
      <c r="D28" s="116">
        <f>D22/60</f>
        <v>0.5</v>
      </c>
      <c r="E28" s="131">
        <v>6500</v>
      </c>
      <c r="F28" s="153">
        <f>E28*D28</f>
        <v>3250</v>
      </c>
    </row>
    <row r="29" spans="1:6" ht="18.75" customHeight="1">
      <c r="A29" s="154"/>
      <c r="B29" s="60" t="s">
        <v>9</v>
      </c>
      <c r="C29" s="61"/>
      <c r="D29" s="118"/>
      <c r="E29" s="275"/>
      <c r="F29" s="285">
        <f>SUM(F28)</f>
        <v>3250</v>
      </c>
    </row>
    <row r="30" spans="1:6" ht="18.75" customHeight="1">
      <c r="A30" s="150">
        <v>2.0299999999999998</v>
      </c>
      <c r="B30" s="16" t="s">
        <v>96</v>
      </c>
      <c r="C30" s="35" t="s">
        <v>1</v>
      </c>
      <c r="D30" s="123">
        <f>(0.75*0.75)*5</f>
        <v>2.8125</v>
      </c>
      <c r="E30" s="136">
        <f>(F37+F33)/D30</f>
        <v>958.33333333333337</v>
      </c>
      <c r="F30" s="151">
        <f>E30*D30</f>
        <v>2695.3125</v>
      </c>
    </row>
    <row r="31" spans="1:6" ht="18.75" customHeight="1">
      <c r="A31" s="152"/>
      <c r="B31" s="8" t="s">
        <v>2</v>
      </c>
      <c r="C31" s="9"/>
      <c r="D31" s="116"/>
      <c r="E31" s="131"/>
      <c r="F31" s="153"/>
    </row>
    <row r="32" spans="1:6" ht="18.75" customHeight="1">
      <c r="A32" s="152"/>
      <c r="B32" s="48" t="s">
        <v>3</v>
      </c>
      <c r="C32" s="9" t="s">
        <v>4</v>
      </c>
      <c r="D32" s="116">
        <f>D30/10</f>
        <v>0.28125</v>
      </c>
      <c r="E32" s="131">
        <v>8500</v>
      </c>
      <c r="F32" s="153">
        <f>E32*D32</f>
        <v>2390.625</v>
      </c>
    </row>
    <row r="33" spans="1:6" ht="18.75" customHeight="1">
      <c r="A33" s="159"/>
      <c r="B33" s="60" t="s">
        <v>5</v>
      </c>
      <c r="C33" s="12"/>
      <c r="D33" s="119"/>
      <c r="E33" s="133"/>
      <c r="F33" s="160">
        <f>SUM(F32)</f>
        <v>2390.625</v>
      </c>
    </row>
    <row r="34" spans="1:6" ht="18.75" customHeight="1">
      <c r="A34" s="159"/>
      <c r="B34" s="60"/>
      <c r="C34" s="12"/>
      <c r="D34" s="119"/>
      <c r="E34" s="133"/>
      <c r="F34" s="160"/>
    </row>
    <row r="35" spans="1:6" ht="18.75" customHeight="1">
      <c r="A35" s="152"/>
      <c r="B35" s="8" t="s">
        <v>6</v>
      </c>
      <c r="C35" s="9"/>
      <c r="D35" s="116"/>
      <c r="E35" s="131"/>
      <c r="F35" s="153"/>
    </row>
    <row r="36" spans="1:6" ht="18.75" customHeight="1">
      <c r="A36" s="152"/>
      <c r="B36" s="13" t="s">
        <v>7</v>
      </c>
      <c r="C36" s="9" t="s">
        <v>8</v>
      </c>
      <c r="D36" s="116">
        <f>D30/60</f>
        <v>4.6875E-2</v>
      </c>
      <c r="E36" s="131">
        <v>6500</v>
      </c>
      <c r="F36" s="153">
        <f>E36*D36</f>
        <v>304.6875</v>
      </c>
    </row>
    <row r="37" spans="1:6" ht="18.75" customHeight="1">
      <c r="A37" s="154"/>
      <c r="B37" s="60" t="s">
        <v>9</v>
      </c>
      <c r="C37" s="61"/>
      <c r="D37" s="118"/>
      <c r="E37" s="275"/>
      <c r="F37" s="285">
        <f>SUM(F36)</f>
        <v>304.6875</v>
      </c>
    </row>
    <row r="38" spans="1:6" ht="18.75" customHeight="1">
      <c r="A38" s="154"/>
      <c r="B38" s="60"/>
      <c r="C38" s="61"/>
      <c r="D38" s="118"/>
      <c r="E38" s="275"/>
      <c r="F38" s="285"/>
    </row>
    <row r="39" spans="1:6" ht="18.75" customHeight="1">
      <c r="A39" s="161">
        <v>3</v>
      </c>
      <c r="B39" s="478" t="s">
        <v>77</v>
      </c>
      <c r="C39" s="478"/>
      <c r="D39" s="478"/>
      <c r="E39" s="478"/>
      <c r="F39" s="479"/>
    </row>
    <row r="40" spans="1:6" ht="18.75" customHeight="1">
      <c r="A40" s="150">
        <v>3.01</v>
      </c>
      <c r="B40" s="16" t="s">
        <v>71</v>
      </c>
      <c r="C40" s="3" t="s">
        <v>1</v>
      </c>
      <c r="D40" s="115">
        <f>23*0.4</f>
        <v>9.2000000000000011</v>
      </c>
      <c r="E40" s="132">
        <f>(F47+F51+F57)/D40</f>
        <v>4696.6302564102562</v>
      </c>
      <c r="F40" s="158">
        <f>E40*D40</f>
        <v>43208.998358974364</v>
      </c>
    </row>
    <row r="41" spans="1:6" ht="18.75" customHeight="1">
      <c r="A41" s="162"/>
      <c r="B41" s="19"/>
      <c r="C41" s="20" t="s">
        <v>10</v>
      </c>
      <c r="D41" s="135">
        <f>D40*0.05</f>
        <v>0.46000000000000008</v>
      </c>
      <c r="E41" s="134"/>
      <c r="F41" s="163"/>
    </row>
    <row r="42" spans="1:6" s="82" customFormat="1" ht="18.75" customHeight="1">
      <c r="A42" s="164"/>
      <c r="B42" s="96" t="s">
        <v>2</v>
      </c>
      <c r="C42" s="23"/>
      <c r="D42" s="116"/>
      <c r="E42" s="131"/>
      <c r="F42" s="287"/>
    </row>
    <row r="43" spans="1:6" ht="18.75" customHeight="1">
      <c r="A43" s="164"/>
      <c r="B43" s="97" t="s">
        <v>11</v>
      </c>
      <c r="C43" s="23" t="s">
        <v>12</v>
      </c>
      <c r="D43" s="116">
        <f>D41*(1/13)*1.57*(1440/50)</f>
        <v>1.5999507692307695</v>
      </c>
      <c r="E43" s="131">
        <v>11200</v>
      </c>
      <c r="F43" s="287">
        <f>E43*D43</f>
        <v>17919.448615384619</v>
      </c>
    </row>
    <row r="44" spans="1:6" ht="18.75" customHeight="1">
      <c r="A44" s="164"/>
      <c r="B44" s="97" t="s">
        <v>13</v>
      </c>
      <c r="C44" s="23" t="s">
        <v>10</v>
      </c>
      <c r="D44" s="116">
        <f>D41*(4/13)*1.57</f>
        <v>0.22221538461538465</v>
      </c>
      <c r="E44" s="131">
        <v>30500</v>
      </c>
      <c r="F44" s="287">
        <f t="shared" ref="F44:F46" si="0">E44*D44</f>
        <v>6777.5692307692316</v>
      </c>
    </row>
    <row r="45" spans="1:6" ht="18.75" customHeight="1">
      <c r="A45" s="164"/>
      <c r="B45" s="97" t="s">
        <v>14</v>
      </c>
      <c r="C45" s="23" t="s">
        <v>10</v>
      </c>
      <c r="D45" s="116">
        <f>D41*(8/13)*1.57</f>
        <v>0.4444307692307693</v>
      </c>
      <c r="E45" s="131">
        <v>32300</v>
      </c>
      <c r="F45" s="287">
        <f t="shared" si="0"/>
        <v>14355.113846153848</v>
      </c>
    </row>
    <row r="46" spans="1:6" ht="18.75" customHeight="1">
      <c r="A46" s="164"/>
      <c r="B46" s="97" t="s">
        <v>15</v>
      </c>
      <c r="C46" s="23" t="s">
        <v>16</v>
      </c>
      <c r="D46" s="116">
        <f>D50*10</f>
        <v>0.76666666666666672</v>
      </c>
      <c r="E46" s="131">
        <v>2200</v>
      </c>
      <c r="F46" s="287">
        <f t="shared" si="0"/>
        <v>1686.6666666666667</v>
      </c>
    </row>
    <row r="47" spans="1:6" ht="18.75" customHeight="1">
      <c r="A47" s="165"/>
      <c r="B47" s="96" t="s">
        <v>18</v>
      </c>
      <c r="C47" s="28"/>
      <c r="D47" s="119"/>
      <c r="E47" s="133"/>
      <c r="F47" s="288">
        <f>SUM(F43:F46)</f>
        <v>40738.798358974367</v>
      </c>
    </row>
    <row r="48" spans="1:6" ht="18.75" customHeight="1">
      <c r="A48" s="164"/>
      <c r="B48" s="97"/>
      <c r="C48" s="23"/>
      <c r="D48" s="116"/>
      <c r="E48" s="131"/>
      <c r="F48" s="287"/>
    </row>
    <row r="49" spans="1:6" ht="18.75" customHeight="1">
      <c r="A49" s="164"/>
      <c r="B49" s="96" t="s">
        <v>19</v>
      </c>
      <c r="C49" s="23"/>
      <c r="D49" s="116"/>
      <c r="E49" s="131"/>
      <c r="F49" s="287"/>
    </row>
    <row r="50" spans="1:6" ht="18.75" customHeight="1">
      <c r="A50" s="164"/>
      <c r="B50" s="97" t="s">
        <v>20</v>
      </c>
      <c r="C50" s="23" t="s">
        <v>21</v>
      </c>
      <c r="D50" s="116">
        <f>D41/6</f>
        <v>7.6666666666666675E-2</v>
      </c>
      <c r="E50" s="131">
        <v>5050</v>
      </c>
      <c r="F50" s="287">
        <f>E50*D50</f>
        <v>387.16666666666669</v>
      </c>
    </row>
    <row r="51" spans="1:6" ht="18.75" customHeight="1">
      <c r="A51" s="165"/>
      <c r="B51" s="96" t="s">
        <v>23</v>
      </c>
      <c r="C51" s="28"/>
      <c r="D51" s="119"/>
      <c r="E51" s="133"/>
      <c r="F51" s="288">
        <f>SUM(F50)</f>
        <v>387.16666666666669</v>
      </c>
    </row>
    <row r="52" spans="1:6" ht="18.75" customHeight="1">
      <c r="A52" s="164"/>
      <c r="B52" s="97"/>
      <c r="C52" s="23"/>
      <c r="D52" s="116"/>
      <c r="E52" s="131"/>
      <c r="F52" s="287"/>
    </row>
    <row r="53" spans="1:6" ht="18.75" customHeight="1">
      <c r="A53" s="164"/>
      <c r="B53" s="96" t="s">
        <v>6</v>
      </c>
      <c r="C53" s="23"/>
      <c r="D53" s="116"/>
      <c r="E53" s="131"/>
      <c r="F53" s="287"/>
    </row>
    <row r="54" spans="1:6" ht="18.75" customHeight="1">
      <c r="A54" s="164"/>
      <c r="B54" s="97" t="s">
        <v>24</v>
      </c>
      <c r="C54" s="23" t="s">
        <v>21</v>
      </c>
      <c r="D54" s="116">
        <f>(D41/6)*2</f>
        <v>0.15333333333333335</v>
      </c>
      <c r="E54" s="131">
        <v>1300</v>
      </c>
      <c r="F54" s="287">
        <f>E54*D54</f>
        <v>199.33333333333334</v>
      </c>
    </row>
    <row r="55" spans="1:6" ht="18.75" customHeight="1">
      <c r="A55" s="164"/>
      <c r="B55" s="97" t="s">
        <v>25</v>
      </c>
      <c r="C55" s="23" t="s">
        <v>21</v>
      </c>
      <c r="D55" s="116">
        <f>(D41/6)*18</f>
        <v>1.3800000000000001</v>
      </c>
      <c r="E55" s="131">
        <v>1280</v>
      </c>
      <c r="F55" s="287">
        <f t="shared" ref="F55:F56" si="1">E55*D55</f>
        <v>1766.4</v>
      </c>
    </row>
    <row r="56" spans="1:6" ht="18.75" customHeight="1">
      <c r="A56" s="164"/>
      <c r="B56" s="97" t="s">
        <v>26</v>
      </c>
      <c r="C56" s="23" t="s">
        <v>21</v>
      </c>
      <c r="D56" s="116">
        <f>D50</f>
        <v>7.6666666666666675E-2</v>
      </c>
      <c r="E56" s="131">
        <v>1530</v>
      </c>
      <c r="F56" s="287">
        <f t="shared" si="1"/>
        <v>117.30000000000001</v>
      </c>
    </row>
    <row r="57" spans="1:6" ht="18.75" customHeight="1">
      <c r="A57" s="165"/>
      <c r="B57" s="96" t="s">
        <v>27</v>
      </c>
      <c r="C57" s="28"/>
      <c r="D57" s="119"/>
      <c r="E57" s="133"/>
      <c r="F57" s="288">
        <f>SUM(F54:F56)</f>
        <v>2083.0333333333333</v>
      </c>
    </row>
    <row r="58" spans="1:6" ht="18.75" customHeight="1">
      <c r="A58" s="150">
        <v>3.02</v>
      </c>
      <c r="B58" s="16" t="s">
        <v>98</v>
      </c>
      <c r="C58" s="3" t="s">
        <v>1</v>
      </c>
      <c r="D58" s="115">
        <f>(0.75*0.75)*5</f>
        <v>2.8125</v>
      </c>
      <c r="E58" s="132">
        <f>(F65+F69+F75)/D58</f>
        <v>4619.1302564102562</v>
      </c>
      <c r="F58" s="158">
        <f>E58*D58</f>
        <v>12991.303846153845</v>
      </c>
    </row>
    <row r="59" spans="1:6" ht="18.75" customHeight="1">
      <c r="A59" s="162"/>
      <c r="B59" s="19"/>
      <c r="C59" s="20" t="s">
        <v>10</v>
      </c>
      <c r="D59" s="135">
        <f>D58*0.05</f>
        <v>0.140625</v>
      </c>
      <c r="E59" s="134"/>
      <c r="F59" s="163"/>
    </row>
    <row r="60" spans="1:6" ht="18.75" customHeight="1">
      <c r="A60" s="164"/>
      <c r="B60" s="96" t="s">
        <v>2</v>
      </c>
      <c r="C60" s="23"/>
      <c r="D60" s="116"/>
      <c r="E60" s="131"/>
      <c r="F60" s="287"/>
    </row>
    <row r="61" spans="1:6" ht="18.75" customHeight="1">
      <c r="A61" s="164"/>
      <c r="B61" s="97" t="s">
        <v>11</v>
      </c>
      <c r="C61" s="23" t="s">
        <v>12</v>
      </c>
      <c r="D61" s="116">
        <f>D59*(1/13)*1.57*(1440/50)</f>
        <v>0.48911538461538462</v>
      </c>
      <c r="E61" s="131">
        <v>11200</v>
      </c>
      <c r="F61" s="287">
        <f>E61*D61</f>
        <v>5478.0923076923082</v>
      </c>
    </row>
    <row r="62" spans="1:6" ht="18.75" customHeight="1">
      <c r="A62" s="164"/>
      <c r="B62" s="97" t="s">
        <v>13</v>
      </c>
      <c r="C62" s="23" t="s">
        <v>10</v>
      </c>
      <c r="D62" s="116">
        <f>D59*(4/13)*1.57</f>
        <v>6.7932692307692305E-2</v>
      </c>
      <c r="E62" s="131">
        <v>30500</v>
      </c>
      <c r="F62" s="287">
        <f t="shared" ref="F62:F64" si="2">E62*D62</f>
        <v>2071.9471153846152</v>
      </c>
    </row>
    <row r="63" spans="1:6" ht="18.75" customHeight="1">
      <c r="A63" s="164"/>
      <c r="B63" s="97" t="s">
        <v>14</v>
      </c>
      <c r="C63" s="23" t="s">
        <v>10</v>
      </c>
      <c r="D63" s="116">
        <f>D59*(8/13)*1.57</f>
        <v>0.13586538461538461</v>
      </c>
      <c r="E63" s="131">
        <v>32300</v>
      </c>
      <c r="F63" s="287">
        <f t="shared" si="2"/>
        <v>4388.4519230769229</v>
      </c>
    </row>
    <row r="64" spans="1:6" ht="18.75" customHeight="1">
      <c r="A64" s="164"/>
      <c r="B64" s="97" t="s">
        <v>15</v>
      </c>
      <c r="C64" s="23" t="s">
        <v>16</v>
      </c>
      <c r="D64" s="116">
        <f>D68*10</f>
        <v>0.234375</v>
      </c>
      <c r="E64" s="131">
        <v>2200</v>
      </c>
      <c r="F64" s="287">
        <f t="shared" si="2"/>
        <v>515.625</v>
      </c>
    </row>
    <row r="65" spans="1:6" ht="18.75" customHeight="1">
      <c r="A65" s="165"/>
      <c r="B65" s="96" t="s">
        <v>18</v>
      </c>
      <c r="C65" s="28"/>
      <c r="D65" s="119"/>
      <c r="E65" s="133"/>
      <c r="F65" s="288">
        <f>SUM(F61:F64)</f>
        <v>12454.116346153845</v>
      </c>
    </row>
    <row r="66" spans="1:6" ht="18" customHeight="1">
      <c r="A66" s="164"/>
      <c r="B66" s="97"/>
      <c r="C66" s="23"/>
      <c r="D66" s="116"/>
      <c r="E66" s="131"/>
      <c r="F66" s="287"/>
    </row>
    <row r="67" spans="1:6" ht="18" customHeight="1">
      <c r="A67" s="164"/>
      <c r="B67" s="96" t="s">
        <v>19</v>
      </c>
      <c r="C67" s="23"/>
      <c r="D67" s="116"/>
      <c r="E67" s="131"/>
      <c r="F67" s="287"/>
    </row>
    <row r="68" spans="1:6" ht="18" customHeight="1">
      <c r="A68" s="164"/>
      <c r="B68" s="97" t="s">
        <v>20</v>
      </c>
      <c r="C68" s="23" t="s">
        <v>21</v>
      </c>
      <c r="D68" s="116">
        <f>D59/6</f>
        <v>2.34375E-2</v>
      </c>
      <c r="E68" s="131">
        <v>5050</v>
      </c>
      <c r="F68" s="287">
        <f>E68*D68</f>
        <v>118.359375</v>
      </c>
    </row>
    <row r="69" spans="1:6" ht="18" customHeight="1">
      <c r="A69" s="165"/>
      <c r="B69" s="96" t="s">
        <v>23</v>
      </c>
      <c r="C69" s="28"/>
      <c r="D69" s="119"/>
      <c r="E69" s="133"/>
      <c r="F69" s="288">
        <f>SUM(F68)</f>
        <v>118.359375</v>
      </c>
    </row>
    <row r="70" spans="1:6" ht="18" customHeight="1">
      <c r="A70" s="164"/>
      <c r="B70" s="97"/>
      <c r="C70" s="23"/>
      <c r="D70" s="116"/>
      <c r="E70" s="131"/>
      <c r="F70" s="287"/>
    </row>
    <row r="71" spans="1:6" ht="18" customHeight="1">
      <c r="A71" s="164"/>
      <c r="B71" s="96" t="s">
        <v>6</v>
      </c>
      <c r="C71" s="23"/>
      <c r="D71" s="116"/>
      <c r="E71" s="131"/>
      <c r="F71" s="287"/>
    </row>
    <row r="72" spans="1:6" ht="18" customHeight="1">
      <c r="A72" s="164"/>
      <c r="B72" s="97" t="s">
        <v>24</v>
      </c>
      <c r="C72" s="23" t="s">
        <v>21</v>
      </c>
      <c r="D72" s="116">
        <f>(D59/6)*2</f>
        <v>4.6875E-2</v>
      </c>
      <c r="E72" s="131">
        <v>1500</v>
      </c>
      <c r="F72" s="287">
        <f>E72*D72</f>
        <v>70.3125</v>
      </c>
    </row>
    <row r="73" spans="1:6" ht="18" customHeight="1">
      <c r="A73" s="164"/>
      <c r="B73" s="97" t="s">
        <v>25</v>
      </c>
      <c r="C73" s="23" t="s">
        <v>21</v>
      </c>
      <c r="D73" s="116">
        <f>(D59/6)*18</f>
        <v>0.421875</v>
      </c>
      <c r="E73" s="131">
        <v>780</v>
      </c>
      <c r="F73" s="287">
        <f t="shared" ref="F73:F74" si="3">E73*D73</f>
        <v>329.0625</v>
      </c>
    </row>
    <row r="74" spans="1:6" ht="18" customHeight="1">
      <c r="A74" s="164"/>
      <c r="B74" s="97" t="s">
        <v>26</v>
      </c>
      <c r="C74" s="23" t="s">
        <v>21</v>
      </c>
      <c r="D74" s="116">
        <f>D68</f>
        <v>2.34375E-2</v>
      </c>
      <c r="E74" s="131">
        <v>830</v>
      </c>
      <c r="F74" s="287">
        <f t="shared" si="3"/>
        <v>19.453125</v>
      </c>
    </row>
    <row r="75" spans="1:6" ht="18" customHeight="1">
      <c r="A75" s="165"/>
      <c r="B75" s="96" t="s">
        <v>27</v>
      </c>
      <c r="C75" s="28"/>
      <c r="D75" s="119"/>
      <c r="E75" s="133"/>
      <c r="F75" s="288">
        <f>SUM(F72:F74)</f>
        <v>418.828125</v>
      </c>
    </row>
    <row r="76" spans="1:6" ht="18" customHeight="1">
      <c r="A76" s="165"/>
      <c r="B76" s="96"/>
      <c r="C76" s="28"/>
      <c r="D76" s="119"/>
      <c r="E76" s="133"/>
      <c r="F76" s="288"/>
    </row>
    <row r="77" spans="1:6" ht="18" customHeight="1">
      <c r="A77" s="166">
        <v>4</v>
      </c>
      <c r="B77" s="480" t="s">
        <v>82</v>
      </c>
      <c r="C77" s="480"/>
      <c r="D77" s="480"/>
      <c r="E77" s="480"/>
      <c r="F77" s="481"/>
    </row>
    <row r="78" spans="1:6" ht="18" customHeight="1">
      <c r="A78" s="150">
        <v>4.01</v>
      </c>
      <c r="B78" s="98" t="s">
        <v>83</v>
      </c>
      <c r="C78" s="69" t="s">
        <v>50</v>
      </c>
      <c r="D78" s="123">
        <f>((0.75*0.2)*4)*5</f>
        <v>3.0000000000000004</v>
      </c>
      <c r="E78" s="136">
        <f>(F83+F88)/D78</f>
        <v>10724.305555555555</v>
      </c>
      <c r="F78" s="289">
        <f>E78*D78</f>
        <v>32172.916666666668</v>
      </c>
    </row>
    <row r="79" spans="1:6" ht="18" customHeight="1">
      <c r="A79" s="164"/>
      <c r="B79" s="96" t="s">
        <v>2</v>
      </c>
      <c r="C79" s="23"/>
      <c r="D79" s="116"/>
      <c r="E79" s="131"/>
      <c r="F79" s="287"/>
    </row>
    <row r="80" spans="1:6" s="85" customFormat="1" ht="35.450000000000003" customHeight="1">
      <c r="A80" s="164"/>
      <c r="B80" s="97" t="s">
        <v>84</v>
      </c>
      <c r="C80" s="23" t="s">
        <v>85</v>
      </c>
      <c r="D80" s="116">
        <f>D78/(2.4*1.2)/2</f>
        <v>0.52083333333333348</v>
      </c>
      <c r="E80" s="131">
        <v>3500</v>
      </c>
      <c r="F80" s="287">
        <f>E80*D80</f>
        <v>1822.9166666666672</v>
      </c>
    </row>
    <row r="81" spans="1:6" ht="18.75" customHeight="1">
      <c r="A81" s="164"/>
      <c r="B81" s="97" t="s">
        <v>86</v>
      </c>
      <c r="C81" s="23" t="s">
        <v>44</v>
      </c>
      <c r="D81" s="116">
        <f>D78*1.5</f>
        <v>4.5000000000000009</v>
      </c>
      <c r="E81" s="131">
        <v>5000</v>
      </c>
      <c r="F81" s="287">
        <f t="shared" ref="F81:F82" si="4">E81*D81</f>
        <v>22500.000000000004</v>
      </c>
    </row>
    <row r="82" spans="1:6" ht="18.75" customHeight="1">
      <c r="A82" s="152"/>
      <c r="B82" s="97" t="s">
        <v>87</v>
      </c>
      <c r="C82" s="23" t="s">
        <v>88</v>
      </c>
      <c r="D82" s="116">
        <f>D78*0.25</f>
        <v>0.75000000000000011</v>
      </c>
      <c r="E82" s="131">
        <v>2200</v>
      </c>
      <c r="F82" s="287">
        <f t="shared" si="4"/>
        <v>1650.0000000000002</v>
      </c>
    </row>
    <row r="83" spans="1:6" ht="18.75" customHeight="1">
      <c r="A83" s="152"/>
      <c r="B83" s="96" t="s">
        <v>89</v>
      </c>
      <c r="C83" s="28"/>
      <c r="D83" s="119"/>
      <c r="E83" s="133"/>
      <c r="F83" s="288">
        <f>SUM(F80:F82)</f>
        <v>25972.916666666672</v>
      </c>
    </row>
    <row r="84" spans="1:6" ht="18.75" customHeight="1">
      <c r="A84" s="152"/>
      <c r="B84" s="97"/>
      <c r="C84" s="23"/>
      <c r="D84" s="116"/>
      <c r="E84" s="131"/>
      <c r="F84" s="287"/>
    </row>
    <row r="85" spans="1:6" ht="18.75" customHeight="1">
      <c r="A85" s="155"/>
      <c r="B85" s="96" t="s">
        <v>6</v>
      </c>
      <c r="C85" s="23"/>
      <c r="D85" s="116"/>
      <c r="E85" s="131"/>
      <c r="F85" s="287"/>
    </row>
    <row r="86" spans="1:6" ht="18.75" customHeight="1">
      <c r="A86" s="155"/>
      <c r="B86" s="97" t="s">
        <v>90</v>
      </c>
      <c r="C86" s="23" t="s">
        <v>21</v>
      </c>
      <c r="D86" s="116">
        <f>D78/15</f>
        <v>0.20000000000000004</v>
      </c>
      <c r="E86" s="131">
        <v>15000</v>
      </c>
      <c r="F86" s="287">
        <f>E86*D86</f>
        <v>3000.0000000000005</v>
      </c>
    </row>
    <row r="87" spans="1:6" ht="18.75" customHeight="1">
      <c r="A87" s="155"/>
      <c r="B87" s="97" t="s">
        <v>25</v>
      </c>
      <c r="C87" s="23" t="s">
        <v>21</v>
      </c>
      <c r="D87" s="116">
        <f>D86*2</f>
        <v>0.40000000000000008</v>
      </c>
      <c r="E87" s="131">
        <v>8000</v>
      </c>
      <c r="F87" s="287">
        <f>E87*D87</f>
        <v>3200.0000000000005</v>
      </c>
    </row>
    <row r="88" spans="1:6" ht="18.75" customHeight="1">
      <c r="A88" s="164"/>
      <c r="B88" s="96" t="s">
        <v>91</v>
      </c>
      <c r="C88" s="28"/>
      <c r="D88" s="119"/>
      <c r="E88" s="133"/>
      <c r="F88" s="288">
        <f>SUM(F86:F87)</f>
        <v>6200.0000000000009</v>
      </c>
    </row>
    <row r="89" spans="1:6" ht="18.75" customHeight="1">
      <c r="A89" s="150">
        <v>4.0199999999999996</v>
      </c>
      <c r="B89" s="98" t="s">
        <v>118</v>
      </c>
      <c r="C89" s="69" t="s">
        <v>50</v>
      </c>
      <c r="D89" s="123">
        <f>((1.05*0.3)*4)*5</f>
        <v>6.3</v>
      </c>
      <c r="E89" s="136">
        <f>(F99+F94)/D89</f>
        <v>7817.3611111111113</v>
      </c>
      <c r="F89" s="289">
        <f>E89*D89</f>
        <v>49249.375</v>
      </c>
    </row>
    <row r="90" spans="1:6" ht="18.75" customHeight="1">
      <c r="A90" s="164"/>
      <c r="B90" s="96" t="s">
        <v>2</v>
      </c>
      <c r="C90" s="23"/>
      <c r="D90" s="116"/>
      <c r="E90" s="131"/>
      <c r="F90" s="287"/>
    </row>
    <row r="91" spans="1:6" ht="18.75" customHeight="1">
      <c r="A91" s="164"/>
      <c r="B91" s="97" t="s">
        <v>84</v>
      </c>
      <c r="C91" s="23" t="s">
        <v>85</v>
      </c>
      <c r="D91" s="116">
        <f>D89/(2.4*1.2)/2</f>
        <v>1.09375</v>
      </c>
      <c r="E91" s="131">
        <v>2500</v>
      </c>
      <c r="F91" s="287">
        <f>E91*D91</f>
        <v>2734.375</v>
      </c>
    </row>
    <row r="92" spans="1:6" ht="18.75" customHeight="1">
      <c r="A92" s="164"/>
      <c r="B92" s="97" t="s">
        <v>86</v>
      </c>
      <c r="C92" s="23" t="s">
        <v>44</v>
      </c>
      <c r="D92" s="116">
        <f>D89*1.5</f>
        <v>9.4499999999999993</v>
      </c>
      <c r="E92" s="131">
        <v>3000</v>
      </c>
      <c r="F92" s="287">
        <f t="shared" ref="F92:F93" si="5">E92*D92</f>
        <v>28349.999999999996</v>
      </c>
    </row>
    <row r="93" spans="1:6" ht="18.75" customHeight="1">
      <c r="A93" s="152"/>
      <c r="B93" s="97" t="s">
        <v>87</v>
      </c>
      <c r="C93" s="23" t="s">
        <v>88</v>
      </c>
      <c r="D93" s="116">
        <f>D89*0.25</f>
        <v>1.575</v>
      </c>
      <c r="E93" s="131">
        <v>2200</v>
      </c>
      <c r="F93" s="287">
        <f t="shared" si="5"/>
        <v>3465</v>
      </c>
    </row>
    <row r="94" spans="1:6" ht="18.75" customHeight="1">
      <c r="A94" s="152"/>
      <c r="B94" s="96" t="s">
        <v>89</v>
      </c>
      <c r="C94" s="28"/>
      <c r="D94" s="119"/>
      <c r="E94" s="133"/>
      <c r="F94" s="288">
        <f>SUM(F91:F93)</f>
        <v>34549.375</v>
      </c>
    </row>
    <row r="95" spans="1:6" ht="18.75" customHeight="1">
      <c r="A95" s="152"/>
      <c r="B95" s="97"/>
      <c r="C95" s="23"/>
      <c r="D95" s="116"/>
      <c r="E95" s="131"/>
      <c r="F95" s="287"/>
    </row>
    <row r="96" spans="1:6" ht="18.75" customHeight="1">
      <c r="A96" s="155"/>
      <c r="B96" s="96" t="s">
        <v>6</v>
      </c>
      <c r="C96" s="23"/>
      <c r="D96" s="116"/>
      <c r="E96" s="131"/>
      <c r="F96" s="287"/>
    </row>
    <row r="97" spans="1:6" ht="18.75" customHeight="1">
      <c r="A97" s="155"/>
      <c r="B97" s="97" t="s">
        <v>90</v>
      </c>
      <c r="C97" s="23" t="s">
        <v>21</v>
      </c>
      <c r="D97" s="116">
        <f>D89/15</f>
        <v>0.42</v>
      </c>
      <c r="E97" s="131">
        <v>15000</v>
      </c>
      <c r="F97" s="287">
        <f>E97*D97</f>
        <v>6300</v>
      </c>
    </row>
    <row r="98" spans="1:6" ht="18.75" customHeight="1">
      <c r="A98" s="155"/>
      <c r="B98" s="97" t="s">
        <v>25</v>
      </c>
      <c r="C98" s="23" t="s">
        <v>21</v>
      </c>
      <c r="D98" s="116">
        <f>D97*2</f>
        <v>0.84</v>
      </c>
      <c r="E98" s="131">
        <v>10000</v>
      </c>
      <c r="F98" s="287">
        <f>E98*D98</f>
        <v>8400</v>
      </c>
    </row>
    <row r="99" spans="1:6" ht="18.75" customHeight="1">
      <c r="A99" s="164"/>
      <c r="B99" s="96" t="s">
        <v>91</v>
      </c>
      <c r="C99" s="28"/>
      <c r="D99" s="119"/>
      <c r="E99" s="133"/>
      <c r="F99" s="288">
        <f>SUM(F97:F98)</f>
        <v>14700</v>
      </c>
    </row>
    <row r="100" spans="1:6" ht="18.75" customHeight="1">
      <c r="A100" s="150">
        <v>4.03</v>
      </c>
      <c r="B100" s="98" t="s">
        <v>95</v>
      </c>
      <c r="C100" s="69" t="s">
        <v>36</v>
      </c>
      <c r="D100" s="123">
        <f>((3.1*0.3)*4)*5</f>
        <v>18.599999999999998</v>
      </c>
      <c r="E100" s="136">
        <f>(F105+F110)/D100</f>
        <v>11164.583333333334</v>
      </c>
      <c r="F100" s="289">
        <f>E100*D100</f>
        <v>207661.25</v>
      </c>
    </row>
    <row r="101" spans="1:6" ht="18.75" customHeight="1">
      <c r="A101" s="164"/>
      <c r="B101" s="96" t="s">
        <v>2</v>
      </c>
      <c r="C101" s="23"/>
      <c r="D101" s="116"/>
      <c r="E101" s="131"/>
      <c r="F101" s="287"/>
    </row>
    <row r="102" spans="1:6" ht="18.75" customHeight="1">
      <c r="A102" s="164"/>
      <c r="B102" s="97" t="s">
        <v>84</v>
      </c>
      <c r="C102" s="23" t="s">
        <v>85</v>
      </c>
      <c r="D102" s="116">
        <f>D100/(2.4*1.2)/2</f>
        <v>3.2291666666666665</v>
      </c>
      <c r="E102" s="116">
        <v>4500</v>
      </c>
      <c r="F102" s="287">
        <f>E102*D102</f>
        <v>14531.25</v>
      </c>
    </row>
    <row r="103" spans="1:6" ht="18.75" customHeight="1">
      <c r="A103" s="164"/>
      <c r="B103" s="97" t="s">
        <v>86</v>
      </c>
      <c r="C103" s="23" t="s">
        <v>44</v>
      </c>
      <c r="D103" s="116">
        <f>D100*1.5</f>
        <v>27.9</v>
      </c>
      <c r="E103" s="116">
        <v>5000</v>
      </c>
      <c r="F103" s="287">
        <f t="shared" ref="F103:F104" si="6">E103*D103</f>
        <v>139500</v>
      </c>
    </row>
    <row r="104" spans="1:6" ht="18.75" customHeight="1">
      <c r="A104" s="152"/>
      <c r="B104" s="97" t="s">
        <v>87</v>
      </c>
      <c r="C104" s="23" t="s">
        <v>88</v>
      </c>
      <c r="D104" s="116">
        <f>D100*0.25</f>
        <v>4.6499999999999995</v>
      </c>
      <c r="E104" s="116">
        <v>2200</v>
      </c>
      <c r="F104" s="287">
        <f t="shared" si="6"/>
        <v>10229.999999999998</v>
      </c>
    </row>
    <row r="105" spans="1:6" ht="18.75" customHeight="1">
      <c r="A105" s="152"/>
      <c r="B105" s="96" t="s">
        <v>89</v>
      </c>
      <c r="C105" s="28"/>
      <c r="D105" s="119"/>
      <c r="E105" s="119"/>
      <c r="F105" s="288">
        <f>SUM(F102:F104)</f>
        <v>164261.25</v>
      </c>
    </row>
    <row r="106" spans="1:6" ht="18.75" customHeight="1">
      <c r="A106" s="152"/>
      <c r="B106" s="97"/>
      <c r="C106" s="23"/>
      <c r="D106" s="116"/>
      <c r="E106" s="116"/>
      <c r="F106" s="287"/>
    </row>
    <row r="107" spans="1:6" ht="18.75" customHeight="1">
      <c r="A107" s="155"/>
      <c r="B107" s="96" t="s">
        <v>6</v>
      </c>
      <c r="C107" s="23"/>
      <c r="D107" s="116"/>
      <c r="E107" s="116"/>
      <c r="F107" s="287"/>
    </row>
    <row r="108" spans="1:6" ht="18.75" customHeight="1">
      <c r="A108" s="155"/>
      <c r="B108" s="97" t="s">
        <v>90</v>
      </c>
      <c r="C108" s="23" t="s">
        <v>21</v>
      </c>
      <c r="D108" s="116">
        <f>D100/15</f>
        <v>1.2399999999999998</v>
      </c>
      <c r="E108" s="116">
        <v>15000</v>
      </c>
      <c r="F108" s="287">
        <f>E108*D108</f>
        <v>18599.999999999996</v>
      </c>
    </row>
    <row r="109" spans="1:6" ht="18.75" customHeight="1">
      <c r="A109" s="155"/>
      <c r="B109" s="97" t="s">
        <v>25</v>
      </c>
      <c r="C109" s="23" t="s">
        <v>21</v>
      </c>
      <c r="D109" s="116">
        <f>D108*2</f>
        <v>2.4799999999999995</v>
      </c>
      <c r="E109" s="131">
        <v>10000</v>
      </c>
      <c r="F109" s="287">
        <f>E109*D109</f>
        <v>24799.999999999996</v>
      </c>
    </row>
    <row r="110" spans="1:6" ht="18.75" customHeight="1">
      <c r="A110" s="164"/>
      <c r="B110" s="11" t="s">
        <v>9</v>
      </c>
      <c r="C110" s="28"/>
      <c r="D110" s="119"/>
      <c r="E110" s="133"/>
      <c r="F110" s="288">
        <f>SUM(F108:F109)</f>
        <v>43399.999999999993</v>
      </c>
    </row>
    <row r="111" spans="1:6" ht="18.75" customHeight="1">
      <c r="A111" s="164"/>
      <c r="B111" s="11"/>
      <c r="C111" s="28"/>
      <c r="D111" s="119"/>
      <c r="E111" s="133"/>
      <c r="F111" s="288"/>
    </row>
    <row r="112" spans="1:6" ht="18.75" customHeight="1">
      <c r="A112" s="167">
        <v>5</v>
      </c>
      <c r="B112" s="98" t="s">
        <v>105</v>
      </c>
      <c r="C112" s="69" t="s">
        <v>88</v>
      </c>
      <c r="D112" s="123">
        <v>180.67</v>
      </c>
      <c r="E112" s="136">
        <f>(F116+F122)/D112</f>
        <v>6375.8333333333339</v>
      </c>
      <c r="F112" s="289">
        <f>E112*D112</f>
        <v>1151921.8083333333</v>
      </c>
    </row>
    <row r="113" spans="1:14" ht="18.75" customHeight="1">
      <c r="A113" s="164"/>
      <c r="B113" s="96" t="s">
        <v>2</v>
      </c>
      <c r="C113" s="23"/>
      <c r="D113" s="116"/>
      <c r="E113" s="131"/>
      <c r="F113" s="287"/>
    </row>
    <row r="114" spans="1:14" ht="18.75" customHeight="1">
      <c r="A114" s="164"/>
      <c r="B114" s="97" t="s">
        <v>106</v>
      </c>
      <c r="C114" s="23" t="s">
        <v>88</v>
      </c>
      <c r="D114" s="116">
        <f>D112*1.1</f>
        <v>198.73699999999999</v>
      </c>
      <c r="E114" s="131">
        <v>5050</v>
      </c>
      <c r="F114" s="287">
        <f>E114*D114</f>
        <v>1003621.85</v>
      </c>
    </row>
    <row r="115" spans="1:14" s="6" customFormat="1" ht="18">
      <c r="A115" s="164"/>
      <c r="B115" s="97" t="s">
        <v>107</v>
      </c>
      <c r="C115" s="23" t="s">
        <v>88</v>
      </c>
      <c r="D115" s="116">
        <f>D112*2.5%</f>
        <v>4.51675</v>
      </c>
      <c r="E115" s="131">
        <v>3500</v>
      </c>
      <c r="F115" s="287">
        <f>E115*D115</f>
        <v>15808.625</v>
      </c>
      <c r="K115" s="79"/>
      <c r="L115" s="79"/>
      <c r="M115" s="79"/>
      <c r="N115" s="32"/>
    </row>
    <row r="116" spans="1:14" s="6" customFormat="1">
      <c r="A116" s="164"/>
      <c r="B116" s="97"/>
      <c r="C116" s="23"/>
      <c r="D116" s="116"/>
      <c r="E116" s="131"/>
      <c r="F116" s="288">
        <f>SUM(F114:F115)</f>
        <v>1019430.475</v>
      </c>
      <c r="K116" s="79"/>
      <c r="L116" s="79"/>
      <c r="M116" s="79"/>
      <c r="N116" s="7"/>
    </row>
    <row r="117" spans="1:14" s="6" customFormat="1" ht="18">
      <c r="A117" s="165"/>
      <c r="B117" s="96" t="s">
        <v>108</v>
      </c>
      <c r="C117" s="28"/>
      <c r="D117" s="119"/>
      <c r="E117" s="133"/>
      <c r="F117" s="288"/>
      <c r="K117" s="79"/>
      <c r="L117" s="79"/>
      <c r="M117" s="79"/>
      <c r="N117" s="7"/>
    </row>
    <row r="118" spans="1:14" s="6" customFormat="1">
      <c r="A118" s="164"/>
      <c r="B118" s="97"/>
      <c r="C118" s="23"/>
      <c r="D118" s="116"/>
      <c r="E118" s="131"/>
      <c r="F118" s="287"/>
      <c r="K118" s="79"/>
      <c r="L118" s="79"/>
      <c r="M118" s="79"/>
      <c r="N118" s="7"/>
    </row>
    <row r="119" spans="1:14" s="6" customFormat="1">
      <c r="A119" s="164"/>
      <c r="B119" s="96" t="s">
        <v>6</v>
      </c>
      <c r="C119" s="23"/>
      <c r="D119" s="116"/>
      <c r="E119" s="131"/>
      <c r="F119" s="287"/>
      <c r="K119" s="79"/>
      <c r="L119" s="79"/>
      <c r="M119" s="79"/>
      <c r="N119" s="7"/>
    </row>
    <row r="120" spans="1:14" s="6" customFormat="1">
      <c r="A120" s="164"/>
      <c r="B120" s="97" t="s">
        <v>109</v>
      </c>
      <c r="C120" s="23" t="s">
        <v>8</v>
      </c>
      <c r="D120" s="116">
        <f>D112/45</f>
        <v>4.0148888888888887</v>
      </c>
      <c r="E120" s="131">
        <v>17000</v>
      </c>
      <c r="F120" s="287">
        <f>E120*D120</f>
        <v>68253.111111111109</v>
      </c>
      <c r="K120" s="79"/>
      <c r="L120" s="79"/>
      <c r="M120" s="79"/>
      <c r="N120" s="7"/>
    </row>
    <row r="121" spans="1:14" s="6" customFormat="1">
      <c r="A121" s="164"/>
      <c r="B121" s="97" t="s">
        <v>110</v>
      </c>
      <c r="C121" s="23" t="s">
        <v>8</v>
      </c>
      <c r="D121" s="116">
        <f>D120*2</f>
        <v>8.0297777777777775</v>
      </c>
      <c r="E121" s="131">
        <v>8000</v>
      </c>
      <c r="F121" s="287">
        <f>E121*D121</f>
        <v>64238.222222222219</v>
      </c>
      <c r="K121" s="79"/>
      <c r="L121" s="79"/>
      <c r="M121" s="79"/>
      <c r="N121" s="7"/>
    </row>
    <row r="122" spans="1:14" s="6" customFormat="1" ht="18">
      <c r="A122" s="165"/>
      <c r="B122" s="96" t="s">
        <v>111</v>
      </c>
      <c r="C122" s="28"/>
      <c r="D122" s="119"/>
      <c r="E122" s="133"/>
      <c r="F122" s="288">
        <f>SUM(F120:F121)</f>
        <v>132491.33333333331</v>
      </c>
      <c r="K122" s="79"/>
      <c r="L122" s="79"/>
      <c r="M122" s="79"/>
      <c r="N122" s="7"/>
    </row>
    <row r="123" spans="1:14" s="6" customFormat="1" ht="18">
      <c r="A123" s="165"/>
      <c r="B123" s="96"/>
      <c r="C123" s="28"/>
      <c r="D123" s="119"/>
      <c r="E123" s="133"/>
      <c r="F123" s="288"/>
      <c r="K123" s="79"/>
      <c r="L123" s="79"/>
      <c r="M123" s="79"/>
      <c r="N123" s="7"/>
    </row>
    <row r="124" spans="1:14" s="6" customFormat="1" ht="19.5">
      <c r="A124" s="168">
        <v>6</v>
      </c>
      <c r="B124" s="482" t="s">
        <v>101</v>
      </c>
      <c r="C124" s="482"/>
      <c r="D124" s="482"/>
      <c r="E124" s="482"/>
      <c r="F124" s="483"/>
      <c r="K124" s="79"/>
      <c r="L124" s="79"/>
      <c r="M124" s="79"/>
      <c r="N124" s="7"/>
    </row>
    <row r="125" spans="1:14" s="6" customFormat="1" ht="19.5">
      <c r="A125" s="150">
        <v>6.01</v>
      </c>
      <c r="B125" s="98" t="s">
        <v>102</v>
      </c>
      <c r="C125" s="69" t="s">
        <v>10</v>
      </c>
      <c r="D125" s="123">
        <f>(0.7*0.7*0.15)*5</f>
        <v>0.36749999999999994</v>
      </c>
      <c r="E125" s="136">
        <f>(F128+F132+F135)/D125</f>
        <v>218000</v>
      </c>
      <c r="F125" s="289">
        <f>E125*D125</f>
        <v>80114.999999999985</v>
      </c>
      <c r="K125" s="79"/>
      <c r="L125" s="79"/>
      <c r="M125" s="79"/>
      <c r="N125" s="7"/>
    </row>
    <row r="126" spans="1:14" s="6" customFormat="1">
      <c r="A126" s="169"/>
      <c r="B126" s="100" t="s">
        <v>2</v>
      </c>
      <c r="C126" s="56"/>
      <c r="D126" s="135"/>
      <c r="E126" s="134"/>
      <c r="F126" s="290"/>
      <c r="K126" s="79"/>
      <c r="L126" s="79"/>
      <c r="M126" s="79"/>
      <c r="N126" s="7"/>
    </row>
    <row r="127" spans="1:14" s="30" customFormat="1" ht="21" customHeight="1">
      <c r="A127" s="169"/>
      <c r="B127" s="101" t="s">
        <v>99</v>
      </c>
      <c r="C127" s="56" t="s">
        <v>28</v>
      </c>
      <c r="D127" s="135">
        <f>D125*1.1</f>
        <v>0.40424999999999994</v>
      </c>
      <c r="E127" s="134">
        <v>180000</v>
      </c>
      <c r="F127" s="290">
        <f>E127*D127</f>
        <v>72764.999999999985</v>
      </c>
      <c r="K127" s="74"/>
      <c r="L127" s="74"/>
      <c r="M127" s="74"/>
      <c r="N127" s="75"/>
    </row>
    <row r="128" spans="1:14" s="52" customFormat="1" ht="18">
      <c r="A128" s="170"/>
      <c r="B128" s="100" t="s">
        <v>100</v>
      </c>
      <c r="C128" s="57"/>
      <c r="D128" s="122"/>
      <c r="E128" s="259"/>
      <c r="F128" s="291">
        <f>SUM(F127)</f>
        <v>72764.999999999985</v>
      </c>
      <c r="K128" s="314"/>
      <c r="L128" s="314"/>
      <c r="M128" s="314"/>
      <c r="N128" s="43"/>
    </row>
    <row r="129" spans="1:14" s="26" customFormat="1" ht="18">
      <c r="A129" s="170"/>
      <c r="B129" s="100"/>
      <c r="C129" s="57"/>
      <c r="D129" s="122"/>
      <c r="E129" s="259"/>
      <c r="F129" s="291"/>
      <c r="K129" s="71"/>
      <c r="L129" s="71"/>
      <c r="M129" s="71"/>
      <c r="N129" s="27"/>
    </row>
    <row r="130" spans="1:14" s="26" customFormat="1" ht="18">
      <c r="A130" s="164"/>
      <c r="B130" s="96" t="s">
        <v>19</v>
      </c>
      <c r="C130" s="23"/>
      <c r="D130" s="116"/>
      <c r="E130" s="131"/>
      <c r="F130" s="287"/>
      <c r="K130" s="71"/>
      <c r="L130" s="71"/>
      <c r="M130" s="71"/>
      <c r="N130" s="27"/>
    </row>
    <row r="131" spans="1:14" s="39" customFormat="1" ht="18">
      <c r="A131" s="164"/>
      <c r="B131" s="97" t="s">
        <v>22</v>
      </c>
      <c r="C131" s="23" t="s">
        <v>21</v>
      </c>
      <c r="D131" s="116">
        <f>D125/6</f>
        <v>6.1249999999999992E-2</v>
      </c>
      <c r="E131" s="131">
        <v>65000</v>
      </c>
      <c r="F131" s="287">
        <f>E131*D131</f>
        <v>3981.2499999999995</v>
      </c>
      <c r="K131" s="73"/>
      <c r="L131" s="73"/>
      <c r="M131" s="73"/>
      <c r="N131" s="40"/>
    </row>
    <row r="132" spans="1:14" s="39" customFormat="1" ht="18">
      <c r="A132" s="165"/>
      <c r="B132" s="96" t="s">
        <v>112</v>
      </c>
      <c r="C132" s="28"/>
      <c r="D132" s="119"/>
      <c r="E132" s="133"/>
      <c r="F132" s="288">
        <f>SUM(F131)</f>
        <v>3981.2499999999995</v>
      </c>
      <c r="K132" s="73"/>
      <c r="L132" s="73"/>
      <c r="M132" s="73"/>
      <c r="N132" s="40"/>
    </row>
    <row r="133" spans="1:14" ht="18" customHeight="1">
      <c r="A133" s="165"/>
      <c r="B133" s="96"/>
      <c r="C133" s="28"/>
      <c r="D133" s="119"/>
      <c r="E133" s="133"/>
      <c r="F133" s="288"/>
    </row>
    <row r="134" spans="1:14" ht="18" customHeight="1">
      <c r="A134" s="169"/>
      <c r="B134" s="101" t="s">
        <v>26</v>
      </c>
      <c r="C134" s="56" t="s">
        <v>21</v>
      </c>
      <c r="D134" s="135">
        <f>D131</f>
        <v>6.1249999999999992E-2</v>
      </c>
      <c r="E134" s="134">
        <v>55000</v>
      </c>
      <c r="F134" s="290">
        <f>E134*D134</f>
        <v>3368.7499999999995</v>
      </c>
    </row>
    <row r="135" spans="1:14" ht="18" customHeight="1">
      <c r="A135" s="170"/>
      <c r="B135" s="100" t="s">
        <v>113</v>
      </c>
      <c r="C135" s="57"/>
      <c r="D135" s="122"/>
      <c r="E135" s="259"/>
      <c r="F135" s="291">
        <f>SUM(F134)</f>
        <v>3368.7499999999995</v>
      </c>
    </row>
    <row r="136" spans="1:14" ht="18" customHeight="1">
      <c r="A136" s="150">
        <v>6.02</v>
      </c>
      <c r="B136" s="98" t="s">
        <v>103</v>
      </c>
      <c r="C136" s="69" t="s">
        <v>10</v>
      </c>
      <c r="D136" s="123">
        <f>(1*0.25*0.25)*5</f>
        <v>0.3125</v>
      </c>
      <c r="E136" s="136">
        <f>(F139+F143+F146)/D136</f>
        <v>223920</v>
      </c>
      <c r="F136" s="289">
        <f>E136*D136</f>
        <v>69975</v>
      </c>
    </row>
    <row r="137" spans="1:14" s="26" customFormat="1" ht="18">
      <c r="A137" s="169"/>
      <c r="B137" s="100" t="s">
        <v>2</v>
      </c>
      <c r="C137" s="56"/>
      <c r="D137" s="135"/>
      <c r="E137" s="134"/>
      <c r="F137" s="290"/>
      <c r="K137" s="71"/>
      <c r="L137" s="71"/>
      <c r="M137" s="71"/>
      <c r="N137" s="27"/>
    </row>
    <row r="138" spans="1:14" s="39" customFormat="1" ht="18">
      <c r="A138" s="169"/>
      <c r="B138" s="101" t="s">
        <v>99</v>
      </c>
      <c r="C138" s="56" t="s">
        <v>28</v>
      </c>
      <c r="D138" s="135">
        <f>D136*1.1</f>
        <v>0.34375</v>
      </c>
      <c r="E138" s="134">
        <v>200000</v>
      </c>
      <c r="F138" s="290">
        <f>E138*D138</f>
        <v>68750</v>
      </c>
      <c r="K138" s="73"/>
      <c r="L138" s="73"/>
      <c r="M138" s="73"/>
      <c r="N138" s="40"/>
    </row>
    <row r="139" spans="1:14" s="42" customFormat="1" ht="18">
      <c r="A139" s="170"/>
      <c r="B139" s="100" t="s">
        <v>100</v>
      </c>
      <c r="C139" s="57"/>
      <c r="D139" s="122"/>
      <c r="E139" s="259"/>
      <c r="F139" s="291">
        <f>SUM(F138)</f>
        <v>68750</v>
      </c>
      <c r="K139" s="313"/>
      <c r="L139" s="313"/>
      <c r="M139" s="313"/>
      <c r="N139" s="43"/>
    </row>
    <row r="140" spans="1:14" s="31" customFormat="1" ht="18">
      <c r="A140" s="170"/>
      <c r="B140" s="100"/>
      <c r="C140" s="57"/>
      <c r="D140" s="122"/>
      <c r="E140" s="259"/>
      <c r="F140" s="291"/>
      <c r="K140" s="72"/>
      <c r="L140" s="72"/>
      <c r="M140" s="72"/>
      <c r="N140" s="32"/>
    </row>
    <row r="141" spans="1:14" s="31" customFormat="1" ht="18">
      <c r="A141" s="164"/>
      <c r="B141" s="96" t="s">
        <v>19</v>
      </c>
      <c r="C141" s="23"/>
      <c r="D141" s="116"/>
      <c r="E141" s="131"/>
      <c r="F141" s="287"/>
      <c r="K141" s="72"/>
      <c r="L141" s="72"/>
      <c r="M141" s="72"/>
      <c r="N141" s="32"/>
    </row>
    <row r="142" spans="1:14" s="76" customFormat="1" ht="18">
      <c r="A142" s="164"/>
      <c r="B142" s="97" t="s">
        <v>22</v>
      </c>
      <c r="C142" s="23" t="s">
        <v>21</v>
      </c>
      <c r="D142" s="116">
        <f>D134/6</f>
        <v>1.0208333333333331E-2</v>
      </c>
      <c r="E142" s="131">
        <v>65000</v>
      </c>
      <c r="F142" s="287">
        <f>E142*D142</f>
        <v>663.54166666666652</v>
      </c>
      <c r="K142" s="77"/>
      <c r="L142" s="77"/>
      <c r="M142" s="77"/>
      <c r="N142" s="78"/>
    </row>
    <row r="143" spans="1:14" s="76" customFormat="1" ht="18">
      <c r="A143" s="165"/>
      <c r="B143" s="96" t="s">
        <v>112</v>
      </c>
      <c r="C143" s="28"/>
      <c r="D143" s="119"/>
      <c r="E143" s="133"/>
      <c r="F143" s="288">
        <f>SUM(F142)</f>
        <v>663.54166666666652</v>
      </c>
      <c r="K143" s="77"/>
      <c r="L143" s="77"/>
      <c r="M143" s="77"/>
      <c r="N143" s="78"/>
    </row>
    <row r="144" spans="1:14" ht="18" customHeight="1">
      <c r="A144" s="165"/>
      <c r="B144" s="96"/>
      <c r="C144" s="28"/>
      <c r="D144" s="119"/>
      <c r="E144" s="133"/>
      <c r="F144" s="288"/>
    </row>
    <row r="145" spans="1:14" ht="18" customHeight="1">
      <c r="A145" s="169"/>
      <c r="B145" s="101" t="s">
        <v>26</v>
      </c>
      <c r="C145" s="56" t="s">
        <v>21</v>
      </c>
      <c r="D145" s="135">
        <f>D142</f>
        <v>1.0208333333333331E-2</v>
      </c>
      <c r="E145" s="134">
        <v>55000</v>
      </c>
      <c r="F145" s="290">
        <f>E145*D145</f>
        <v>561.45833333333326</v>
      </c>
    </row>
    <row r="146" spans="1:14" ht="18" customHeight="1">
      <c r="A146" s="170"/>
      <c r="B146" s="100" t="s">
        <v>113</v>
      </c>
      <c r="C146" s="57"/>
      <c r="D146" s="122"/>
      <c r="E146" s="259"/>
      <c r="F146" s="291">
        <f>SUM(F145)</f>
        <v>561.45833333333326</v>
      </c>
    </row>
    <row r="147" spans="1:14" ht="18" customHeight="1">
      <c r="A147" s="150">
        <v>6.03</v>
      </c>
      <c r="B147" s="98" t="s">
        <v>104</v>
      </c>
      <c r="C147" s="69" t="s">
        <v>10</v>
      </c>
      <c r="D147" s="123">
        <f>(3*0.25*0.25)*5</f>
        <v>0.9375</v>
      </c>
      <c r="E147" s="136">
        <f>(F150+F154+F157)/D147</f>
        <v>295000</v>
      </c>
      <c r="F147" s="289">
        <f>E147*D147</f>
        <v>276562.5</v>
      </c>
    </row>
    <row r="148" spans="1:14" s="31" customFormat="1" ht="18">
      <c r="A148" s="169"/>
      <c r="B148" s="100" t="s">
        <v>2</v>
      </c>
      <c r="C148" s="56"/>
      <c r="D148" s="135"/>
      <c r="E148" s="134"/>
      <c r="F148" s="290"/>
      <c r="K148" s="72"/>
      <c r="L148" s="72"/>
      <c r="M148" s="72"/>
      <c r="N148" s="32"/>
    </row>
    <row r="149" spans="1:14" s="76" customFormat="1" ht="18">
      <c r="A149" s="169"/>
      <c r="B149" s="101" t="s">
        <v>99</v>
      </c>
      <c r="C149" s="56" t="s">
        <v>28</v>
      </c>
      <c r="D149" s="135">
        <f>D147*1.1</f>
        <v>1.03125</v>
      </c>
      <c r="E149" s="134">
        <v>250000</v>
      </c>
      <c r="F149" s="290">
        <f>E149*D149</f>
        <v>257812.5</v>
      </c>
      <c r="K149" s="77"/>
      <c r="L149" s="77"/>
      <c r="M149" s="77"/>
      <c r="N149" s="78"/>
    </row>
    <row r="150" spans="1:14" s="42" customFormat="1" ht="18">
      <c r="A150" s="170"/>
      <c r="B150" s="100" t="s">
        <v>100</v>
      </c>
      <c r="C150" s="57"/>
      <c r="D150" s="122"/>
      <c r="E150" s="259"/>
      <c r="F150" s="291">
        <f>SUM(F149)</f>
        <v>257812.5</v>
      </c>
      <c r="K150" s="313"/>
      <c r="L150" s="313"/>
      <c r="M150" s="313"/>
      <c r="N150" s="43"/>
    </row>
    <row r="151" spans="1:14" s="31" customFormat="1" ht="18">
      <c r="A151" s="170"/>
      <c r="B151" s="100"/>
      <c r="C151" s="57"/>
      <c r="D151" s="122"/>
      <c r="E151" s="259"/>
      <c r="F151" s="291"/>
      <c r="K151" s="72"/>
      <c r="L151" s="72"/>
      <c r="M151" s="72"/>
      <c r="N151" s="32"/>
    </row>
    <row r="152" spans="1:14" s="31" customFormat="1" ht="18">
      <c r="A152" s="164"/>
      <c r="B152" s="96" t="s">
        <v>19</v>
      </c>
      <c r="C152" s="23"/>
      <c r="D152" s="116"/>
      <c r="E152" s="131"/>
      <c r="F152" s="287"/>
      <c r="K152" s="72"/>
      <c r="L152" s="72"/>
      <c r="M152" s="72"/>
      <c r="N152" s="32"/>
    </row>
    <row r="153" spans="1:14" s="76" customFormat="1" ht="18">
      <c r="A153" s="164"/>
      <c r="B153" s="97" t="s">
        <v>22</v>
      </c>
      <c r="C153" s="23" t="s">
        <v>21</v>
      </c>
      <c r="D153" s="116">
        <f>D147/6</f>
        <v>0.15625</v>
      </c>
      <c r="E153" s="131">
        <v>65000</v>
      </c>
      <c r="F153" s="287">
        <f>E153*D153</f>
        <v>10156.25</v>
      </c>
      <c r="K153" s="77"/>
      <c r="L153" s="77"/>
      <c r="M153" s="77"/>
      <c r="N153" s="78"/>
    </row>
    <row r="154" spans="1:14" s="76" customFormat="1" ht="18">
      <c r="A154" s="165"/>
      <c r="B154" s="96" t="s">
        <v>112</v>
      </c>
      <c r="C154" s="28"/>
      <c r="D154" s="119"/>
      <c r="E154" s="133"/>
      <c r="F154" s="288">
        <f>SUM(F153)</f>
        <v>10156.25</v>
      </c>
      <c r="K154" s="77"/>
      <c r="L154" s="77"/>
      <c r="M154" s="77"/>
      <c r="N154" s="78"/>
    </row>
    <row r="155" spans="1:14" ht="18" customHeight="1">
      <c r="A155" s="165"/>
      <c r="B155" s="96"/>
      <c r="C155" s="28"/>
      <c r="D155" s="119"/>
      <c r="E155" s="133"/>
      <c r="F155" s="288"/>
    </row>
    <row r="156" spans="1:14" ht="18" customHeight="1">
      <c r="A156" s="169"/>
      <c r="B156" s="101" t="s">
        <v>26</v>
      </c>
      <c r="C156" s="56" t="s">
        <v>21</v>
      </c>
      <c r="D156" s="135">
        <f>D153</f>
        <v>0.15625</v>
      </c>
      <c r="E156" s="134">
        <v>55000</v>
      </c>
      <c r="F156" s="290">
        <f>E156*D156</f>
        <v>8593.75</v>
      </c>
    </row>
    <row r="157" spans="1:14" ht="18" customHeight="1">
      <c r="A157" s="170"/>
      <c r="B157" s="100" t="s">
        <v>113</v>
      </c>
      <c r="C157" s="57"/>
      <c r="D157" s="122"/>
      <c r="E157" s="259"/>
      <c r="F157" s="291">
        <f>SUM(F156)</f>
        <v>8593.75</v>
      </c>
    </row>
    <row r="158" spans="1:14" ht="18" customHeight="1">
      <c r="A158" s="170"/>
      <c r="B158" s="100"/>
      <c r="C158" s="57"/>
      <c r="D158" s="122"/>
      <c r="E158" s="259"/>
      <c r="F158" s="291"/>
    </row>
    <row r="159" spans="1:14" s="31" customFormat="1" ht="19.5">
      <c r="A159" s="168">
        <v>7</v>
      </c>
      <c r="B159" s="478" t="s">
        <v>73</v>
      </c>
      <c r="C159" s="478"/>
      <c r="D159" s="478"/>
      <c r="E159" s="478"/>
      <c r="F159" s="479"/>
      <c r="K159" s="72"/>
      <c r="L159" s="72"/>
      <c r="M159" s="72"/>
      <c r="N159" s="32"/>
    </row>
    <row r="160" spans="1:14" s="59" customFormat="1" ht="18.75" customHeight="1">
      <c r="A160" s="157">
        <v>7.01</v>
      </c>
      <c r="B160" s="16" t="s">
        <v>71</v>
      </c>
      <c r="C160" s="3" t="s">
        <v>28</v>
      </c>
      <c r="D160" s="115">
        <f>0.4*0.8*20.5</f>
        <v>6.5600000000000014</v>
      </c>
      <c r="E160" s="132">
        <f>(F165+F170)/D160</f>
        <v>85069.756862745096</v>
      </c>
      <c r="F160" s="158">
        <f>E160*D160</f>
        <v>558057.60501960793</v>
      </c>
    </row>
    <row r="161" spans="1:6" s="59" customFormat="1" ht="18.75" customHeight="1">
      <c r="A161" s="155"/>
      <c r="B161" s="8" t="s">
        <v>29</v>
      </c>
      <c r="C161" s="9"/>
      <c r="D161" s="116"/>
      <c r="E161" s="131"/>
      <c r="F161" s="153"/>
    </row>
    <row r="162" spans="1:6" s="90" customFormat="1" ht="18" customHeight="1">
      <c r="A162" s="155"/>
      <c r="B162" s="13" t="s">
        <v>30</v>
      </c>
      <c r="C162" s="9" t="s">
        <v>28</v>
      </c>
      <c r="D162" s="116">
        <f>D160*(10/17)*1.57</f>
        <v>6.0583529411764721</v>
      </c>
      <c r="E162" s="131">
        <v>33500</v>
      </c>
      <c r="F162" s="153">
        <f>E162*D162</f>
        <v>202954.82352941181</v>
      </c>
    </row>
    <row r="163" spans="1:6" ht="18" customHeight="1">
      <c r="A163" s="155"/>
      <c r="B163" s="13" t="s">
        <v>11</v>
      </c>
      <c r="C163" s="9" t="s">
        <v>31</v>
      </c>
      <c r="D163" s="116">
        <f>D160*(1/17)*1.57*(1440/50)</f>
        <v>17.448056470588241</v>
      </c>
      <c r="E163" s="131">
        <v>11200</v>
      </c>
      <c r="F163" s="153">
        <f t="shared" ref="F163:F164" si="7">E163*D163</f>
        <v>195418.23247058829</v>
      </c>
    </row>
    <row r="164" spans="1:6" ht="18" customHeight="1">
      <c r="A164" s="155"/>
      <c r="B164" s="13" t="s">
        <v>32</v>
      </c>
      <c r="C164" s="9" t="s">
        <v>28</v>
      </c>
      <c r="D164" s="116">
        <f>D160*(6/17)*1.57</f>
        <v>3.6350117647058835</v>
      </c>
      <c r="E164" s="131">
        <v>32500</v>
      </c>
      <c r="F164" s="153">
        <f t="shared" si="7"/>
        <v>118137.88235294122</v>
      </c>
    </row>
    <row r="165" spans="1:6" ht="18" customHeight="1">
      <c r="A165" s="155"/>
      <c r="B165" s="8" t="s">
        <v>5</v>
      </c>
      <c r="C165" s="9"/>
      <c r="D165" s="116"/>
      <c r="E165" s="131"/>
      <c r="F165" s="160">
        <f>SUM(F162:F164)</f>
        <v>516510.9383529413</v>
      </c>
    </row>
    <row r="166" spans="1:6" ht="18" customHeight="1">
      <c r="A166" s="155"/>
      <c r="B166" s="13"/>
      <c r="C166" s="9"/>
      <c r="D166" s="116"/>
      <c r="E166" s="131"/>
      <c r="F166" s="153"/>
    </row>
    <row r="167" spans="1:6" ht="18" customHeight="1">
      <c r="A167" s="152"/>
      <c r="B167" s="8" t="s">
        <v>33</v>
      </c>
      <c r="C167" s="9"/>
      <c r="D167" s="116"/>
      <c r="E167" s="131"/>
      <c r="F167" s="153"/>
    </row>
    <row r="168" spans="1:6" ht="18" customHeight="1">
      <c r="A168" s="152"/>
      <c r="B168" s="13" t="s">
        <v>34</v>
      </c>
      <c r="C168" s="9" t="s">
        <v>21</v>
      </c>
      <c r="D168" s="116">
        <f>D160/1.5</f>
        <v>4.373333333333334</v>
      </c>
      <c r="E168" s="131">
        <v>4500</v>
      </c>
      <c r="F168" s="153">
        <f>E168*D168</f>
        <v>19680.000000000004</v>
      </c>
    </row>
    <row r="169" spans="1:6" ht="18" customHeight="1">
      <c r="A169" s="152"/>
      <c r="B169" s="13" t="s">
        <v>7</v>
      </c>
      <c r="C169" s="9" t="s">
        <v>21</v>
      </c>
      <c r="D169" s="116">
        <f>+D168*2</f>
        <v>8.7466666666666679</v>
      </c>
      <c r="E169" s="131">
        <v>2500</v>
      </c>
      <c r="F169" s="153">
        <f>E169*D169</f>
        <v>21866.666666666672</v>
      </c>
    </row>
    <row r="170" spans="1:6" ht="18" customHeight="1">
      <c r="A170" s="165"/>
      <c r="B170" s="96" t="s">
        <v>9</v>
      </c>
      <c r="C170" s="28"/>
      <c r="D170" s="119"/>
      <c r="E170" s="133"/>
      <c r="F170" s="288">
        <f>SUM(F168:F169)</f>
        <v>41546.666666666672</v>
      </c>
    </row>
    <row r="171" spans="1:6" ht="18" customHeight="1">
      <c r="A171" s="165"/>
      <c r="B171" s="96"/>
      <c r="C171" s="28"/>
      <c r="D171" s="119"/>
      <c r="E171" s="133"/>
      <c r="F171" s="288"/>
    </row>
    <row r="172" spans="1:6" ht="18" customHeight="1">
      <c r="A172" s="150">
        <v>8.01</v>
      </c>
      <c r="B172" s="16" t="s">
        <v>35</v>
      </c>
      <c r="C172" s="35" t="s">
        <v>36</v>
      </c>
      <c r="D172" s="123">
        <f>20.5*0.25</f>
        <v>5.125</v>
      </c>
      <c r="E172" s="136">
        <f>(F175+F180)/D172</f>
        <v>1980</v>
      </c>
      <c r="F172" s="151">
        <f>E172*D172</f>
        <v>10147.5</v>
      </c>
    </row>
    <row r="173" spans="1:6" ht="18" customHeight="1">
      <c r="A173" s="155"/>
      <c r="B173" s="8" t="s">
        <v>29</v>
      </c>
      <c r="C173" s="9"/>
      <c r="D173" s="116"/>
      <c r="E173" s="131"/>
      <c r="F173" s="153"/>
    </row>
    <row r="174" spans="1:6" ht="18" customHeight="1">
      <c r="A174" s="152"/>
      <c r="B174" s="13" t="s">
        <v>37</v>
      </c>
      <c r="C174" s="9" t="s">
        <v>38</v>
      </c>
      <c r="D174" s="116">
        <f>D172</f>
        <v>5.125</v>
      </c>
      <c r="E174" s="131">
        <v>1500</v>
      </c>
      <c r="F174" s="153">
        <f>E174*D174</f>
        <v>7687.5</v>
      </c>
    </row>
    <row r="175" spans="1:6" ht="18" customHeight="1">
      <c r="A175" s="159"/>
      <c r="B175" s="8" t="s">
        <v>5</v>
      </c>
      <c r="C175" s="12"/>
      <c r="D175" s="119"/>
      <c r="E175" s="133"/>
      <c r="F175" s="160">
        <f>SUM(F174)</f>
        <v>7687.5</v>
      </c>
    </row>
    <row r="176" spans="1:6" ht="18" customHeight="1">
      <c r="A176" s="152"/>
      <c r="B176" s="13"/>
      <c r="C176" s="9"/>
      <c r="D176" s="116"/>
      <c r="E176" s="131"/>
      <c r="F176" s="153"/>
    </row>
    <row r="177" spans="1:6" ht="18" customHeight="1">
      <c r="A177" s="171"/>
      <c r="B177" s="8" t="s">
        <v>33</v>
      </c>
      <c r="C177" s="9"/>
      <c r="D177" s="116"/>
      <c r="E177" s="131"/>
      <c r="F177" s="153"/>
    </row>
    <row r="178" spans="1:6" ht="18" customHeight="1">
      <c r="A178" s="152"/>
      <c r="B178" s="13" t="s">
        <v>34</v>
      </c>
      <c r="C178" s="9" t="s">
        <v>21</v>
      </c>
      <c r="D178" s="116">
        <f>D172/100</f>
        <v>5.1249999999999997E-2</v>
      </c>
      <c r="E178" s="131">
        <v>18000</v>
      </c>
      <c r="F178" s="153">
        <f>E178*D178</f>
        <v>922.5</v>
      </c>
    </row>
    <row r="179" spans="1:6" ht="18" customHeight="1">
      <c r="A179" s="152"/>
      <c r="B179" s="13" t="s">
        <v>7</v>
      </c>
      <c r="C179" s="9" t="s">
        <v>21</v>
      </c>
      <c r="D179" s="116">
        <f>+D178*2</f>
        <v>0.10249999999999999</v>
      </c>
      <c r="E179" s="131">
        <v>15000</v>
      </c>
      <c r="F179" s="153">
        <f>E179*D179</f>
        <v>1537.5</v>
      </c>
    </row>
    <row r="180" spans="1:6" ht="18" customHeight="1">
      <c r="A180" s="159"/>
      <c r="B180" s="8" t="s">
        <v>39</v>
      </c>
      <c r="C180" s="12"/>
      <c r="D180" s="119"/>
      <c r="E180" s="133"/>
      <c r="F180" s="160">
        <f>SUM(F178:F179)</f>
        <v>2460</v>
      </c>
    </row>
    <row r="181" spans="1:6" ht="18" customHeight="1">
      <c r="A181" s="159"/>
      <c r="B181" s="8"/>
      <c r="C181" s="12"/>
      <c r="D181" s="119"/>
      <c r="E181" s="133"/>
      <c r="F181" s="160"/>
    </row>
    <row r="182" spans="1:6" ht="18" customHeight="1">
      <c r="A182" s="166">
        <v>9</v>
      </c>
      <c r="B182" s="480" t="s">
        <v>72</v>
      </c>
      <c r="C182" s="480"/>
      <c r="D182" s="480"/>
      <c r="E182" s="480"/>
      <c r="F182" s="481"/>
    </row>
    <row r="183" spans="1:6" ht="18" customHeight="1">
      <c r="A183" s="150">
        <v>9.01</v>
      </c>
      <c r="B183" s="16" t="s">
        <v>40</v>
      </c>
      <c r="C183" s="3" t="s">
        <v>1</v>
      </c>
      <c r="D183" s="115">
        <f>(20.5*3)-(3.78+3)</f>
        <v>54.72</v>
      </c>
      <c r="E183" s="132">
        <f>(F189+F194)/D183</f>
        <v>16453.284874881014</v>
      </c>
      <c r="F183" s="158">
        <f>E183*D183</f>
        <v>900323.74835348909</v>
      </c>
    </row>
    <row r="184" spans="1:6" ht="18" customHeight="1">
      <c r="A184" s="162"/>
      <c r="B184" s="102"/>
      <c r="C184" s="20" t="s">
        <v>28</v>
      </c>
      <c r="D184" s="135">
        <f>D183*0.2</f>
        <v>10.944000000000001</v>
      </c>
      <c r="E184" s="134"/>
      <c r="F184" s="163"/>
    </row>
    <row r="185" spans="1:6" s="90" customFormat="1" ht="18" customHeight="1">
      <c r="A185" s="152"/>
      <c r="B185" s="8" t="s">
        <v>2</v>
      </c>
      <c r="C185" s="9"/>
      <c r="D185" s="116"/>
      <c r="E185" s="131"/>
      <c r="F185" s="153"/>
    </row>
    <row r="186" spans="1:6" ht="18" customHeight="1">
      <c r="A186" s="152"/>
      <c r="B186" s="48" t="s">
        <v>41</v>
      </c>
      <c r="C186" s="9" t="s">
        <v>31</v>
      </c>
      <c r="D186" s="116">
        <f>D184*0.2439*(1/7)*1.54*(1440/50)</f>
        <v>16.912314777600002</v>
      </c>
      <c r="E186" s="131">
        <v>11200</v>
      </c>
      <c r="F186" s="153">
        <f>E186*D186</f>
        <v>189417.92550912002</v>
      </c>
    </row>
    <row r="187" spans="1:6" ht="18" customHeight="1">
      <c r="A187" s="152"/>
      <c r="B187" s="48" t="s">
        <v>42</v>
      </c>
      <c r="C187" s="9" t="s">
        <v>28</v>
      </c>
      <c r="D187" s="116">
        <f>D184*0.2439*(6/7)*1.54</f>
        <v>3.5233989120000007</v>
      </c>
      <c r="E187" s="131">
        <v>30500</v>
      </c>
      <c r="F187" s="153">
        <f t="shared" ref="F187:F188" si="8">E187*D187</f>
        <v>107463.66681600003</v>
      </c>
    </row>
    <row r="188" spans="1:6" ht="18" customHeight="1">
      <c r="A188" s="152"/>
      <c r="B188" s="48" t="s">
        <v>43</v>
      </c>
      <c r="C188" s="9" t="s">
        <v>44</v>
      </c>
      <c r="D188" s="116">
        <f>D184*1.15/(0.235*0.1125*0.075)</f>
        <v>6347.3475177304972</v>
      </c>
      <c r="E188" s="131">
        <v>58</v>
      </c>
      <c r="F188" s="153">
        <f t="shared" si="8"/>
        <v>368146.15602836886</v>
      </c>
    </row>
    <row r="189" spans="1:6" ht="18" customHeight="1">
      <c r="A189" s="159"/>
      <c r="B189" s="60" t="s">
        <v>5</v>
      </c>
      <c r="C189" s="12"/>
      <c r="D189" s="119"/>
      <c r="E189" s="133"/>
      <c r="F189" s="160">
        <f>SUM(F186:F188)</f>
        <v>665027.74835348898</v>
      </c>
    </row>
    <row r="190" spans="1:6" ht="18" customHeight="1">
      <c r="A190" s="152"/>
      <c r="B190" s="48"/>
      <c r="C190" s="9"/>
      <c r="D190" s="116"/>
      <c r="E190" s="131"/>
      <c r="F190" s="153"/>
    </row>
    <row r="191" spans="1:6" ht="18" customHeight="1">
      <c r="A191" s="152"/>
      <c r="B191" s="8" t="s">
        <v>6</v>
      </c>
      <c r="C191" s="9"/>
      <c r="D191" s="116"/>
      <c r="E191" s="131"/>
      <c r="F191" s="153"/>
    </row>
    <row r="192" spans="1:6" ht="18" customHeight="1">
      <c r="A192" s="152"/>
      <c r="B192" s="13" t="s">
        <v>34</v>
      </c>
      <c r="C192" s="9" t="s">
        <v>8</v>
      </c>
      <c r="D192" s="116">
        <f>D184/1</f>
        <v>10.944000000000001</v>
      </c>
      <c r="E192" s="131">
        <v>6500</v>
      </c>
      <c r="F192" s="153">
        <f>E192*D192</f>
        <v>71136</v>
      </c>
    </row>
    <row r="193" spans="1:6" ht="18" customHeight="1">
      <c r="A193" s="152"/>
      <c r="B193" s="13" t="s">
        <v>7</v>
      </c>
      <c r="C193" s="9" t="s">
        <v>8</v>
      </c>
      <c r="D193" s="116">
        <f>(D184/1.2)*4</f>
        <v>36.480000000000004</v>
      </c>
      <c r="E193" s="131">
        <v>4500</v>
      </c>
      <c r="F193" s="153">
        <f>E193*D193</f>
        <v>164160.00000000003</v>
      </c>
    </row>
    <row r="194" spans="1:6" ht="18" customHeight="1">
      <c r="A194" s="154"/>
      <c r="B194" s="60" t="s">
        <v>9</v>
      </c>
      <c r="C194" s="61"/>
      <c r="D194" s="118"/>
      <c r="E194" s="275"/>
      <c r="F194" s="285">
        <f>SUM(F192:F193)</f>
        <v>235296.00000000003</v>
      </c>
    </row>
    <row r="195" spans="1:6" ht="18" customHeight="1">
      <c r="A195" s="154"/>
      <c r="B195" s="60"/>
      <c r="C195" s="61"/>
      <c r="D195" s="118"/>
      <c r="E195" s="275"/>
      <c r="F195" s="285"/>
    </row>
    <row r="196" spans="1:6" ht="18" customHeight="1">
      <c r="A196" s="172">
        <v>10</v>
      </c>
      <c r="B196" s="476" t="s">
        <v>79</v>
      </c>
      <c r="C196" s="476"/>
      <c r="D196" s="476"/>
      <c r="E196" s="476"/>
      <c r="F196" s="477"/>
    </row>
    <row r="197" spans="1:6" ht="18" customHeight="1">
      <c r="A197" s="150" t="s">
        <v>116</v>
      </c>
      <c r="B197" s="2" t="s">
        <v>74</v>
      </c>
      <c r="C197" s="15" t="s">
        <v>45</v>
      </c>
      <c r="D197" s="173">
        <f>9.4*0.25*0.2</f>
        <v>0.47000000000000003</v>
      </c>
      <c r="E197" s="277">
        <f>(F204+F209+F214)/D197</f>
        <v>154198.13193960511</v>
      </c>
      <c r="F197" s="158">
        <f>E197*D197</f>
        <v>72473.12201161441</v>
      </c>
    </row>
    <row r="198" spans="1:6" ht="18" customHeight="1">
      <c r="A198" s="171"/>
      <c r="B198" s="175" t="s">
        <v>29</v>
      </c>
      <c r="C198" s="176"/>
      <c r="D198" s="135"/>
      <c r="E198" s="178"/>
      <c r="F198" s="179"/>
    </row>
    <row r="199" spans="1:6" s="90" customFormat="1" ht="18" customHeight="1">
      <c r="A199" s="171"/>
      <c r="B199" s="180" t="s">
        <v>14</v>
      </c>
      <c r="C199" s="18" t="s">
        <v>45</v>
      </c>
      <c r="D199" s="135">
        <f>D197*(4/7)*1.57</f>
        <v>0.4216571428571429</v>
      </c>
      <c r="E199" s="178">
        <v>48000</v>
      </c>
      <c r="F199" s="179">
        <f>E199*D199</f>
        <v>20239.54285714286</v>
      </c>
    </row>
    <row r="200" spans="1:6" ht="18" customHeight="1">
      <c r="A200" s="171"/>
      <c r="B200" s="180" t="s">
        <v>13</v>
      </c>
      <c r="C200" s="18" t="s">
        <v>45</v>
      </c>
      <c r="D200" s="135">
        <f>D197*(2/7)*1.54</f>
        <v>0.20680000000000001</v>
      </c>
      <c r="E200" s="178">
        <v>36500</v>
      </c>
      <c r="F200" s="179">
        <f t="shared" ref="F200:F203" si="9">E200*D200</f>
        <v>7548.2000000000007</v>
      </c>
    </row>
    <row r="201" spans="1:6" ht="18" customHeight="1">
      <c r="A201" s="171"/>
      <c r="B201" s="180" t="s">
        <v>11</v>
      </c>
      <c r="C201" s="176" t="s">
        <v>12</v>
      </c>
      <c r="D201" s="135">
        <f>D197*(1/7)*1.57*(1440/50)</f>
        <v>3.0359314285714287</v>
      </c>
      <c r="E201" s="178">
        <v>11200</v>
      </c>
      <c r="F201" s="179">
        <f t="shared" si="9"/>
        <v>34002.432000000001</v>
      </c>
    </row>
    <row r="202" spans="1:6" ht="18" customHeight="1">
      <c r="A202" s="169"/>
      <c r="B202" s="101" t="s">
        <v>15</v>
      </c>
      <c r="C202" s="56" t="s">
        <v>16</v>
      </c>
      <c r="D202" s="135">
        <f>D207*10</f>
        <v>0.78333333333333344</v>
      </c>
      <c r="E202" s="134">
        <v>2200</v>
      </c>
      <c r="F202" s="179">
        <f t="shared" si="9"/>
        <v>1723.3333333333335</v>
      </c>
    </row>
    <row r="203" spans="1:6" ht="18" customHeight="1">
      <c r="A203" s="169"/>
      <c r="B203" s="101" t="s">
        <v>17</v>
      </c>
      <c r="C203" s="56" t="s">
        <v>16</v>
      </c>
      <c r="D203" s="135">
        <f>D208*5</f>
        <v>0.39166666666666672</v>
      </c>
      <c r="E203" s="134">
        <v>1900</v>
      </c>
      <c r="F203" s="179">
        <f t="shared" si="9"/>
        <v>744.16666666666674</v>
      </c>
    </row>
    <row r="204" spans="1:6" ht="18" customHeight="1">
      <c r="A204" s="171"/>
      <c r="B204" s="175" t="s">
        <v>5</v>
      </c>
      <c r="C204" s="176"/>
      <c r="D204" s="135"/>
      <c r="E204" s="178"/>
      <c r="F204" s="292">
        <f>SUM(F199:F203)</f>
        <v>64257.674857142862</v>
      </c>
    </row>
    <row r="205" spans="1:6" ht="18" customHeight="1">
      <c r="A205" s="171"/>
      <c r="B205" s="180"/>
      <c r="C205" s="176"/>
      <c r="D205" s="135"/>
      <c r="E205" s="178"/>
      <c r="F205" s="179"/>
    </row>
    <row r="206" spans="1:6" ht="18" customHeight="1">
      <c r="A206" s="169"/>
      <c r="B206" s="100" t="s">
        <v>19</v>
      </c>
      <c r="C206" s="56"/>
      <c r="D206" s="135"/>
      <c r="E206" s="134"/>
      <c r="F206" s="290"/>
    </row>
    <row r="207" spans="1:6" ht="18" customHeight="1">
      <c r="A207" s="169"/>
      <c r="B207" s="101" t="s">
        <v>20</v>
      </c>
      <c r="C207" s="56" t="s">
        <v>21</v>
      </c>
      <c r="D207" s="135">
        <f>D197/6</f>
        <v>7.8333333333333338E-2</v>
      </c>
      <c r="E207" s="134">
        <v>25000</v>
      </c>
      <c r="F207" s="290">
        <f>E207*D207</f>
        <v>1958.3333333333335</v>
      </c>
    </row>
    <row r="208" spans="1:6" ht="18" customHeight="1">
      <c r="A208" s="169"/>
      <c r="B208" s="101" t="s">
        <v>22</v>
      </c>
      <c r="C208" s="56" t="s">
        <v>21</v>
      </c>
      <c r="D208" s="135">
        <f>D197/6</f>
        <v>7.8333333333333338E-2</v>
      </c>
      <c r="E208" s="134">
        <v>25000</v>
      </c>
      <c r="F208" s="290">
        <f>E208*D208</f>
        <v>1958.3333333333335</v>
      </c>
    </row>
    <row r="209" spans="1:6" ht="18" customHeight="1">
      <c r="A209" s="170"/>
      <c r="B209" s="100" t="s">
        <v>23</v>
      </c>
      <c r="C209" s="57"/>
      <c r="D209" s="122"/>
      <c r="E209" s="259"/>
      <c r="F209" s="291">
        <f>SUM(F207:F208)</f>
        <v>3916.666666666667</v>
      </c>
    </row>
    <row r="210" spans="1:6" ht="18" customHeight="1">
      <c r="A210" s="170"/>
      <c r="B210" s="100"/>
      <c r="C210" s="57"/>
      <c r="D210" s="122"/>
      <c r="E210" s="259"/>
      <c r="F210" s="291"/>
    </row>
    <row r="211" spans="1:6" ht="18" customHeight="1">
      <c r="A211" s="181"/>
      <c r="B211" s="175" t="s">
        <v>33</v>
      </c>
      <c r="C211" s="176"/>
      <c r="D211" s="135"/>
      <c r="E211" s="178"/>
      <c r="F211" s="179"/>
    </row>
    <row r="212" spans="1:6" ht="18.75" customHeight="1">
      <c r="A212" s="181"/>
      <c r="B212" s="180" t="s">
        <v>34</v>
      </c>
      <c r="C212" s="176" t="s">
        <v>21</v>
      </c>
      <c r="D212" s="135">
        <f>D197/1.64</f>
        <v>0.28658536585365857</v>
      </c>
      <c r="E212" s="131">
        <v>6000</v>
      </c>
      <c r="F212" s="179">
        <f>E212*D212</f>
        <v>1719.5121951219514</v>
      </c>
    </row>
    <row r="213" spans="1:6" ht="18.75" customHeight="1">
      <c r="A213" s="181"/>
      <c r="B213" s="180" t="s">
        <v>7</v>
      </c>
      <c r="C213" s="176" t="s">
        <v>21</v>
      </c>
      <c r="D213" s="135">
        <f>+D212*2</f>
        <v>0.57317073170731714</v>
      </c>
      <c r="E213" s="131">
        <v>4500</v>
      </c>
      <c r="F213" s="179">
        <f>E213*D213</f>
        <v>2579.268292682927</v>
      </c>
    </row>
    <row r="214" spans="1:6" ht="18.75" customHeight="1">
      <c r="A214" s="182"/>
      <c r="B214" s="175" t="s">
        <v>119</v>
      </c>
      <c r="C214" s="183"/>
      <c r="D214" s="122"/>
      <c r="E214" s="185"/>
      <c r="F214" s="292">
        <f>SUM(F212:F213)</f>
        <v>4298.7804878048782</v>
      </c>
    </row>
    <row r="215" spans="1:6" ht="18.75" customHeight="1">
      <c r="A215" s="181"/>
      <c r="B215" s="180"/>
      <c r="C215" s="176"/>
      <c r="D215" s="135"/>
      <c r="E215" s="178"/>
      <c r="F215" s="179"/>
    </row>
    <row r="216" spans="1:6" ht="18.75" customHeight="1">
      <c r="A216" s="186">
        <v>11</v>
      </c>
      <c r="B216" s="484" t="s">
        <v>76</v>
      </c>
      <c r="C216" s="484"/>
      <c r="D216" s="484"/>
      <c r="E216" s="484"/>
      <c r="F216" s="485"/>
    </row>
    <row r="217" spans="1:6" s="63" customFormat="1" ht="18.75" customHeight="1">
      <c r="A217" s="150">
        <v>11.01</v>
      </c>
      <c r="B217" s="98" t="s">
        <v>75</v>
      </c>
      <c r="C217" s="41" t="s">
        <v>36</v>
      </c>
      <c r="D217" s="115">
        <v>30</v>
      </c>
      <c r="E217" s="132">
        <f>(F224+F229+F234)/D217</f>
        <v>10800.549351678132</v>
      </c>
      <c r="F217" s="293">
        <f>E217*D217</f>
        <v>324016.48055034393</v>
      </c>
    </row>
    <row r="218" spans="1:6" ht="18.75" customHeight="1">
      <c r="A218" s="162"/>
      <c r="B218" s="19"/>
      <c r="C218" s="20"/>
      <c r="D218" s="135">
        <f>D217*0.05</f>
        <v>1.5</v>
      </c>
      <c r="E218" s="134"/>
      <c r="F218" s="163"/>
    </row>
    <row r="219" spans="1:6" s="90" customFormat="1" ht="18.75" customHeight="1">
      <c r="A219" s="164"/>
      <c r="B219" s="96" t="s">
        <v>2</v>
      </c>
      <c r="C219" s="23"/>
      <c r="D219" s="116"/>
      <c r="E219" s="131"/>
      <c r="F219" s="287"/>
    </row>
    <row r="220" spans="1:6" ht="18.75" customHeight="1">
      <c r="A220" s="155"/>
      <c r="B220" s="13" t="s">
        <v>30</v>
      </c>
      <c r="C220" s="9" t="s">
        <v>28</v>
      </c>
      <c r="D220" s="116">
        <f>D217*0.1*1.5</f>
        <v>4.5</v>
      </c>
      <c r="E220" s="131">
        <v>25500</v>
      </c>
      <c r="F220" s="153">
        <f>E220*D220</f>
        <v>114750</v>
      </c>
    </row>
    <row r="221" spans="1:6" ht="18.75" customHeight="1">
      <c r="A221" s="164"/>
      <c r="B221" s="97" t="s">
        <v>11</v>
      </c>
      <c r="C221" s="23" t="s">
        <v>12</v>
      </c>
      <c r="D221" s="116">
        <f>D218*(1/13)*1.57*(1440/50)</f>
        <v>5.2172307692307696</v>
      </c>
      <c r="E221" s="131">
        <v>11200</v>
      </c>
      <c r="F221" s="153">
        <f t="shared" ref="F221:F223" si="10">E221*D221</f>
        <v>58432.984615384616</v>
      </c>
    </row>
    <row r="222" spans="1:6" ht="18.75" customHeight="1">
      <c r="A222" s="164"/>
      <c r="B222" s="97" t="s">
        <v>13</v>
      </c>
      <c r="C222" s="23" t="s">
        <v>10</v>
      </c>
      <c r="D222" s="116">
        <f>D218*(4/13)*1.57</f>
        <v>0.72461538461538466</v>
      </c>
      <c r="E222" s="131">
        <v>36500</v>
      </c>
      <c r="F222" s="153">
        <f t="shared" si="10"/>
        <v>26448.461538461539</v>
      </c>
    </row>
    <row r="223" spans="1:6" ht="18.75" customHeight="1">
      <c r="A223" s="164"/>
      <c r="B223" s="97" t="s">
        <v>14</v>
      </c>
      <c r="C223" s="23" t="s">
        <v>10</v>
      </c>
      <c r="D223" s="116">
        <f>D218*(8/13)*1.57</f>
        <v>1.4492307692307693</v>
      </c>
      <c r="E223" s="131">
        <v>43500</v>
      </c>
      <c r="F223" s="153">
        <f t="shared" si="10"/>
        <v>63041.538461538468</v>
      </c>
    </row>
    <row r="224" spans="1:6" ht="18.75" customHeight="1">
      <c r="A224" s="165"/>
      <c r="B224" s="96" t="s">
        <v>18</v>
      </c>
      <c r="C224" s="28"/>
      <c r="D224" s="119"/>
      <c r="E224" s="131"/>
      <c r="F224" s="288">
        <f>SUM(F220:F223)</f>
        <v>262672.9846153846</v>
      </c>
    </row>
    <row r="225" spans="1:6" ht="18.75" customHeight="1">
      <c r="A225" s="165"/>
      <c r="B225" s="96"/>
      <c r="C225" s="28"/>
      <c r="D225" s="119"/>
      <c r="E225" s="131"/>
      <c r="F225" s="288"/>
    </row>
    <row r="226" spans="1:6" ht="18.75" customHeight="1">
      <c r="A226" s="169"/>
      <c r="B226" s="100" t="s">
        <v>19</v>
      </c>
      <c r="C226" s="56"/>
      <c r="D226" s="135"/>
      <c r="F226" s="290"/>
    </row>
    <row r="227" spans="1:6" ht="18.75" customHeight="1">
      <c r="A227" s="169"/>
      <c r="B227" s="101" t="s">
        <v>20</v>
      </c>
      <c r="C227" s="56" t="s">
        <v>21</v>
      </c>
      <c r="D227" s="135">
        <f>D213/6</f>
        <v>9.5528455284552852E-2</v>
      </c>
      <c r="E227" s="131">
        <v>18500</v>
      </c>
      <c r="F227" s="290">
        <f>E227*D227</f>
        <v>1767.2764227642278</v>
      </c>
    </row>
    <row r="228" spans="1:6" ht="18.75" customHeight="1">
      <c r="A228" s="169"/>
      <c r="B228" s="101" t="s">
        <v>22</v>
      </c>
      <c r="C228" s="56" t="s">
        <v>21</v>
      </c>
      <c r="D228" s="135">
        <f>D213/6</f>
        <v>9.5528455284552852E-2</v>
      </c>
      <c r="E228" s="131">
        <v>16500</v>
      </c>
      <c r="F228" s="290">
        <f>E228*D228</f>
        <v>1576.219512195122</v>
      </c>
    </row>
    <row r="229" spans="1:6" ht="18.75" customHeight="1">
      <c r="A229" s="170"/>
      <c r="B229" s="100" t="s">
        <v>23</v>
      </c>
      <c r="C229" s="57"/>
      <c r="D229" s="122"/>
      <c r="E229" s="259"/>
      <c r="F229" s="291">
        <f>SUM(F227:F228)</f>
        <v>3343.4959349593501</v>
      </c>
    </row>
    <row r="230" spans="1:6" ht="18.75" customHeight="1">
      <c r="A230" s="164"/>
      <c r="B230" s="97"/>
      <c r="C230" s="23"/>
      <c r="D230" s="116"/>
      <c r="E230" s="131"/>
      <c r="F230" s="287"/>
    </row>
    <row r="231" spans="1:6" ht="18.75" customHeight="1">
      <c r="A231" s="164"/>
      <c r="B231" s="96" t="s">
        <v>6</v>
      </c>
      <c r="C231" s="23"/>
      <c r="D231" s="116"/>
      <c r="E231" s="131"/>
      <c r="F231" s="287"/>
    </row>
    <row r="232" spans="1:6" ht="18.75" customHeight="1">
      <c r="A232" s="164"/>
      <c r="B232" s="97" t="s">
        <v>24</v>
      </c>
      <c r="C232" s="23" t="s">
        <v>21</v>
      </c>
      <c r="D232" s="116">
        <f>(D218/6)*2</f>
        <v>0.5</v>
      </c>
      <c r="E232" s="131">
        <v>12500</v>
      </c>
      <c r="F232" s="287">
        <f>E232*D232</f>
        <v>6250</v>
      </c>
    </row>
    <row r="233" spans="1:6" ht="18.75" customHeight="1">
      <c r="A233" s="164"/>
      <c r="B233" s="97" t="s">
        <v>25</v>
      </c>
      <c r="C233" s="23" t="s">
        <v>21</v>
      </c>
      <c r="D233" s="116">
        <f>(D218/6)*18</f>
        <v>4.5</v>
      </c>
      <c r="E233" s="131">
        <v>11500</v>
      </c>
      <c r="F233" s="287">
        <f>E233*D233</f>
        <v>51750</v>
      </c>
    </row>
    <row r="234" spans="1:6" ht="18.75" customHeight="1">
      <c r="A234" s="165"/>
      <c r="B234" s="96" t="s">
        <v>27</v>
      </c>
      <c r="C234" s="28"/>
      <c r="D234" s="119"/>
      <c r="E234" s="133"/>
      <c r="F234" s="288">
        <f>SUM(F232:F233)</f>
        <v>58000</v>
      </c>
    </row>
    <row r="235" spans="1:6" ht="18.75" customHeight="1">
      <c r="A235" s="164"/>
      <c r="B235" s="97"/>
      <c r="C235" s="23"/>
      <c r="D235" s="116"/>
      <c r="E235" s="131"/>
      <c r="F235" s="287"/>
    </row>
    <row r="236" spans="1:6" ht="18.75" customHeight="1">
      <c r="A236" s="150">
        <v>12.01</v>
      </c>
      <c r="B236" s="2" t="s">
        <v>80</v>
      </c>
      <c r="C236" s="65" t="s">
        <v>47</v>
      </c>
      <c r="D236" s="124">
        <v>30</v>
      </c>
      <c r="E236" s="278">
        <f>(F240+F245)/D236</f>
        <v>6241.9761333333336</v>
      </c>
      <c r="F236" s="151">
        <f>E236*D236</f>
        <v>187259.28400000001</v>
      </c>
    </row>
    <row r="237" spans="1:6" ht="18.75" customHeight="1">
      <c r="A237" s="155"/>
      <c r="B237" s="60" t="s">
        <v>2</v>
      </c>
      <c r="C237" s="44"/>
      <c r="D237" s="125"/>
      <c r="E237" s="279"/>
      <c r="F237" s="153"/>
    </row>
    <row r="238" spans="1:6" ht="18.75" customHeight="1">
      <c r="A238" s="155"/>
      <c r="B238" s="48" t="s">
        <v>11</v>
      </c>
      <c r="C238" s="44" t="s">
        <v>12</v>
      </c>
      <c r="D238" s="125">
        <f>D236*(1/6)*0.032*(1440/50)*1.54</f>
        <v>7.0963200000000013</v>
      </c>
      <c r="E238" s="279">
        <v>11200</v>
      </c>
      <c r="F238" s="153">
        <f>E238*D238</f>
        <v>79478.784000000014</v>
      </c>
    </row>
    <row r="239" spans="1:6" ht="18.75" customHeight="1">
      <c r="A239" s="155"/>
      <c r="B239" s="48" t="s">
        <v>13</v>
      </c>
      <c r="C239" s="44" t="s">
        <v>10</v>
      </c>
      <c r="D239" s="125">
        <f>D236*(5/6)*0.032*1.54</f>
        <v>1.2320000000000002</v>
      </c>
      <c r="E239" s="279">
        <v>36500</v>
      </c>
      <c r="F239" s="153">
        <f>E239*D239</f>
        <v>44968.000000000007</v>
      </c>
    </row>
    <row r="240" spans="1:6" ht="18.75" customHeight="1">
      <c r="A240" s="165"/>
      <c r="B240" s="96" t="s">
        <v>5</v>
      </c>
      <c r="C240" s="28"/>
      <c r="D240" s="119"/>
      <c r="E240" s="259"/>
      <c r="F240" s="288">
        <f>SUM(F238:F239)</f>
        <v>124446.78400000001</v>
      </c>
    </row>
    <row r="241" spans="1:6" ht="18.75" customHeight="1">
      <c r="A241" s="164"/>
      <c r="B241" s="97"/>
      <c r="C241" s="23"/>
      <c r="D241" s="116"/>
      <c r="E241" s="131"/>
      <c r="F241" s="287"/>
    </row>
    <row r="242" spans="1:6" ht="18.75" customHeight="1">
      <c r="A242" s="164"/>
      <c r="B242" s="96" t="s">
        <v>6</v>
      </c>
      <c r="C242" s="23"/>
      <c r="D242" s="116"/>
      <c r="E242" s="131"/>
      <c r="F242" s="287"/>
    </row>
    <row r="243" spans="1:6" ht="18.75" customHeight="1">
      <c r="A243" s="164"/>
      <c r="B243" s="97" t="s">
        <v>34</v>
      </c>
      <c r="C243" s="23" t="s">
        <v>8</v>
      </c>
      <c r="D243" s="116">
        <f>D236/16</f>
        <v>1.875</v>
      </c>
      <c r="E243" s="131">
        <v>14500</v>
      </c>
      <c r="F243" s="287">
        <f>E243*D243</f>
        <v>27187.5</v>
      </c>
    </row>
    <row r="244" spans="1:6" ht="18.75" customHeight="1">
      <c r="A244" s="164"/>
      <c r="B244" s="97" t="s">
        <v>7</v>
      </c>
      <c r="C244" s="23" t="s">
        <v>8</v>
      </c>
      <c r="D244" s="116">
        <f>D243*2</f>
        <v>3.75</v>
      </c>
      <c r="E244" s="131">
        <v>9500</v>
      </c>
      <c r="F244" s="287">
        <f>E244*D244</f>
        <v>35625</v>
      </c>
    </row>
    <row r="245" spans="1:6" ht="18">
      <c r="A245" s="165"/>
      <c r="B245" s="96" t="s">
        <v>9</v>
      </c>
      <c r="C245" s="28"/>
      <c r="D245" s="119"/>
      <c r="E245" s="133"/>
      <c r="F245" s="288">
        <f>SUM(F243:F244)</f>
        <v>62812.5</v>
      </c>
    </row>
    <row r="246" spans="1:6" ht="18">
      <c r="A246" s="165"/>
      <c r="B246" s="96"/>
      <c r="C246" s="28"/>
      <c r="D246" s="119"/>
      <c r="E246" s="133"/>
      <c r="F246" s="288"/>
    </row>
    <row r="247" spans="1:6" ht="19.5">
      <c r="A247" s="166">
        <v>13</v>
      </c>
      <c r="B247" s="480" t="s">
        <v>48</v>
      </c>
      <c r="C247" s="480"/>
      <c r="D247" s="480"/>
      <c r="E247" s="480"/>
      <c r="F247" s="481"/>
    </row>
    <row r="248" spans="1:6" ht="19.5">
      <c r="A248" s="167">
        <v>13.01</v>
      </c>
      <c r="B248" s="16" t="s">
        <v>49</v>
      </c>
      <c r="C248" s="35" t="s">
        <v>50</v>
      </c>
      <c r="D248" s="123">
        <f>((5+6+2.5)*3)-(3.78+3)</f>
        <v>33.72</v>
      </c>
      <c r="E248" s="136">
        <f>(F252+F257)/D248</f>
        <v>4014.7471999999998</v>
      </c>
      <c r="F248" s="151">
        <f>E248*D248</f>
        <v>135377.27558399999</v>
      </c>
    </row>
    <row r="249" spans="1:6">
      <c r="A249" s="164"/>
      <c r="B249" s="60" t="s">
        <v>51</v>
      </c>
      <c r="C249" s="44"/>
      <c r="D249" s="116"/>
      <c r="E249" s="131"/>
      <c r="F249" s="153"/>
    </row>
    <row r="250" spans="1:6" s="90" customFormat="1">
      <c r="A250" s="162"/>
      <c r="B250" s="48" t="s">
        <v>52</v>
      </c>
      <c r="C250" s="44" t="s">
        <v>12</v>
      </c>
      <c r="D250" s="116">
        <f>D248*0.015*(1/5)*1.54*(1440/50)</f>
        <v>4.4866483199999996</v>
      </c>
      <c r="E250" s="279">
        <v>11200</v>
      </c>
      <c r="F250" s="153">
        <f>E250*D250</f>
        <v>50250.461183999992</v>
      </c>
    </row>
    <row r="251" spans="1:6">
      <c r="A251" s="187"/>
      <c r="B251" s="48" t="s">
        <v>13</v>
      </c>
      <c r="C251" s="44" t="s">
        <v>28</v>
      </c>
      <c r="D251" s="116">
        <f>D248*0.015*1.54*(4/5)</f>
        <v>0.62314559999999997</v>
      </c>
      <c r="E251" s="279">
        <v>36500</v>
      </c>
      <c r="F251" s="153">
        <f>E251*D251</f>
        <v>22744.814399999999</v>
      </c>
    </row>
    <row r="252" spans="1:6" ht="18">
      <c r="A252" s="188"/>
      <c r="B252" s="60" t="s">
        <v>5</v>
      </c>
      <c r="C252" s="61"/>
      <c r="D252" s="119"/>
      <c r="E252" s="259"/>
      <c r="F252" s="160">
        <f>SUM(F250:F251)</f>
        <v>72995.275583999988</v>
      </c>
    </row>
    <row r="253" spans="1:6">
      <c r="A253" s="187"/>
      <c r="B253" s="48"/>
      <c r="C253" s="44"/>
      <c r="D253" s="116"/>
      <c r="E253" s="131"/>
      <c r="F253" s="153"/>
    </row>
    <row r="254" spans="1:6">
      <c r="A254" s="187"/>
      <c r="B254" s="60" t="s">
        <v>53</v>
      </c>
      <c r="C254" s="44"/>
      <c r="D254" s="116"/>
      <c r="E254" s="131"/>
      <c r="F254" s="153"/>
    </row>
    <row r="255" spans="1:6">
      <c r="A255" s="187"/>
      <c r="B255" s="48" t="s">
        <v>34</v>
      </c>
      <c r="C255" s="44" t="s">
        <v>8</v>
      </c>
      <c r="D255" s="116">
        <f>D248/10</f>
        <v>3.3719999999999999</v>
      </c>
      <c r="E255" s="131">
        <v>4500</v>
      </c>
      <c r="F255" s="153">
        <f>E255*D255</f>
        <v>15174</v>
      </c>
    </row>
    <row r="256" spans="1:6">
      <c r="A256" s="187"/>
      <c r="B256" s="48" t="s">
        <v>7</v>
      </c>
      <c r="C256" s="44" t="s">
        <v>8</v>
      </c>
      <c r="D256" s="116">
        <f>D255*4</f>
        <v>13.488</v>
      </c>
      <c r="E256" s="131">
        <v>3500</v>
      </c>
      <c r="F256" s="153">
        <f>E256*D256</f>
        <v>47208</v>
      </c>
    </row>
    <row r="257" spans="1:6">
      <c r="A257" s="189"/>
      <c r="B257" s="96" t="s">
        <v>54</v>
      </c>
      <c r="C257" s="49"/>
      <c r="D257" s="116"/>
      <c r="E257" s="139"/>
      <c r="F257" s="160">
        <f>SUM(F255:F256)</f>
        <v>62382</v>
      </c>
    </row>
    <row r="258" spans="1:6">
      <c r="A258" s="152"/>
      <c r="B258" s="48"/>
      <c r="C258" s="44"/>
      <c r="D258" s="116"/>
      <c r="E258" s="131"/>
      <c r="F258" s="153"/>
    </row>
    <row r="259" spans="1:6" ht="19.5">
      <c r="A259" s="190">
        <v>14</v>
      </c>
      <c r="B259" s="103" t="s">
        <v>55</v>
      </c>
      <c r="C259" s="94"/>
      <c r="D259" s="127"/>
      <c r="E259" s="280"/>
      <c r="F259" s="294"/>
    </row>
    <row r="260" spans="1:6" ht="19.5">
      <c r="A260" s="191">
        <v>14.01</v>
      </c>
      <c r="B260" s="16" t="s">
        <v>49</v>
      </c>
      <c r="C260" s="35" t="s">
        <v>1</v>
      </c>
      <c r="D260" s="123">
        <f>D248</f>
        <v>33.72</v>
      </c>
      <c r="E260" s="136">
        <f>(F269+F274)/D260</f>
        <v>6350.0782918149471</v>
      </c>
      <c r="F260" s="151">
        <f>E260*D260</f>
        <v>214124.64</v>
      </c>
    </row>
    <row r="261" spans="1:6">
      <c r="A261" s="152"/>
      <c r="B261" s="104"/>
      <c r="C261" s="18"/>
      <c r="D261" s="128"/>
      <c r="E261" s="134"/>
      <c r="F261" s="163"/>
    </row>
    <row r="262" spans="1:6" s="90" customFormat="1">
      <c r="A262" s="152"/>
      <c r="B262" s="60" t="s">
        <v>2</v>
      </c>
      <c r="C262" s="44"/>
      <c r="D262" s="116"/>
      <c r="E262" s="131"/>
      <c r="F262" s="153"/>
    </row>
    <row r="263" spans="1:6">
      <c r="A263" s="192"/>
      <c r="B263" s="48" t="s">
        <v>56</v>
      </c>
      <c r="C263" s="44" t="s">
        <v>57</v>
      </c>
      <c r="D263" s="116">
        <f>D260*0.07*3</f>
        <v>7.0812000000000008</v>
      </c>
      <c r="E263" s="131">
        <f>65000/D263</f>
        <v>9179.2351578828439</v>
      </c>
      <c r="F263" s="153">
        <f>E263*D263</f>
        <v>65000</v>
      </c>
    </row>
    <row r="264" spans="1:6">
      <c r="A264" s="187"/>
      <c r="B264" s="48" t="str">
        <f>'[1]Emulsion Paint'!$B$19</f>
        <v>Induit/undercoat ( 2 coats)</v>
      </c>
      <c r="C264" s="44" t="s">
        <v>57</v>
      </c>
      <c r="D264" s="116">
        <f>D260*0.07*2</f>
        <v>4.7208000000000006</v>
      </c>
      <c r="E264" s="131">
        <f>115000/D264</f>
        <v>24360.277918996777</v>
      </c>
      <c r="F264" s="153">
        <f t="shared" ref="F264:F268" si="11">E264*D264</f>
        <v>115000</v>
      </c>
    </row>
    <row r="265" spans="1:6">
      <c r="A265" s="187"/>
      <c r="B265" s="48" t="str">
        <f>'[1]Emulsion Paint'!$B$24</f>
        <v>Roller</v>
      </c>
      <c r="C265" s="44" t="s">
        <v>44</v>
      </c>
      <c r="D265" s="116">
        <f>D260/100</f>
        <v>0.3372</v>
      </c>
      <c r="E265" s="131">
        <v>1100</v>
      </c>
      <c r="F265" s="153">
        <f t="shared" si="11"/>
        <v>370.92</v>
      </c>
    </row>
    <row r="266" spans="1:6">
      <c r="A266" s="187"/>
      <c r="B266" s="48" t="str">
        <f>'[1]Emulsion Paint'!$B$23</f>
        <v>Brush</v>
      </c>
      <c r="C266" s="44" t="s">
        <v>44</v>
      </c>
      <c r="D266" s="116">
        <f>D260/100</f>
        <v>0.3372</v>
      </c>
      <c r="E266" s="131">
        <v>1100</v>
      </c>
      <c r="F266" s="153">
        <f t="shared" si="11"/>
        <v>370.92</v>
      </c>
    </row>
    <row r="267" spans="1:6">
      <c r="A267" s="187"/>
      <c r="B267" s="48" t="s">
        <v>58</v>
      </c>
      <c r="C267" s="44" t="s">
        <v>59</v>
      </c>
      <c r="D267" s="116">
        <f>D260/100</f>
        <v>0.3372</v>
      </c>
      <c r="E267" s="131">
        <v>3500</v>
      </c>
      <c r="F267" s="153">
        <f t="shared" si="11"/>
        <v>1180.2</v>
      </c>
    </row>
    <row r="268" spans="1:6">
      <c r="A268" s="187"/>
      <c r="B268" s="48" t="s">
        <v>60</v>
      </c>
      <c r="C268" s="44" t="s">
        <v>44</v>
      </c>
      <c r="D268" s="116">
        <f>D260/50</f>
        <v>0.6744</v>
      </c>
      <c r="E268" s="131">
        <v>3500</v>
      </c>
      <c r="F268" s="153">
        <f t="shared" si="11"/>
        <v>2360.4</v>
      </c>
    </row>
    <row r="269" spans="1:6" ht="18">
      <c r="A269" s="188"/>
      <c r="B269" s="60" t="s">
        <v>61</v>
      </c>
      <c r="C269" s="61"/>
      <c r="D269" s="119"/>
      <c r="E269" s="131"/>
      <c r="F269" s="160">
        <f>SUM(F263:F268)</f>
        <v>184282.44000000003</v>
      </c>
    </row>
    <row r="270" spans="1:6">
      <c r="A270" s="187"/>
      <c r="B270" s="48"/>
      <c r="C270" s="44"/>
      <c r="D270" s="116"/>
      <c r="E270" s="131"/>
      <c r="F270" s="153"/>
    </row>
    <row r="271" spans="1:6">
      <c r="A271" s="187"/>
      <c r="B271" s="60" t="s">
        <v>6</v>
      </c>
      <c r="C271" s="44"/>
      <c r="D271" s="116"/>
      <c r="E271" s="131"/>
      <c r="F271" s="153"/>
    </row>
    <row r="272" spans="1:6">
      <c r="A272" s="187"/>
      <c r="B272" s="48" t="s">
        <v>7</v>
      </c>
      <c r="C272" s="44" t="s">
        <v>62</v>
      </c>
      <c r="D272" s="116">
        <f>D273</f>
        <v>2.48685</v>
      </c>
      <c r="E272" s="131">
        <v>5500</v>
      </c>
      <c r="F272" s="153">
        <f>E272*D272</f>
        <v>13677.674999999999</v>
      </c>
    </row>
    <row r="273" spans="1:6">
      <c r="A273" s="187"/>
      <c r="B273" s="48" t="s">
        <v>63</v>
      </c>
      <c r="C273" s="44" t="s">
        <v>62</v>
      </c>
      <c r="D273" s="116">
        <f>D260*(0.59/8)</f>
        <v>2.48685</v>
      </c>
      <c r="E273" s="131">
        <v>6500</v>
      </c>
      <c r="F273" s="153">
        <f>E273*D273</f>
        <v>16164.525</v>
      </c>
    </row>
    <row r="274" spans="1:6" ht="18">
      <c r="A274" s="165"/>
      <c r="B274" s="96" t="s">
        <v>9</v>
      </c>
      <c r="C274" s="28"/>
      <c r="D274" s="119"/>
      <c r="E274" s="133"/>
      <c r="F274" s="288">
        <f>SUM(F272:F273)</f>
        <v>29842.199999999997</v>
      </c>
    </row>
    <row r="275" spans="1:6">
      <c r="A275" s="193"/>
      <c r="B275" s="105"/>
      <c r="C275" s="47"/>
      <c r="D275" s="116"/>
      <c r="E275" s="139"/>
      <c r="F275" s="295"/>
    </row>
    <row r="276" spans="1:6" ht="19.5">
      <c r="A276" s="166">
        <v>15</v>
      </c>
      <c r="B276" s="480" t="s">
        <v>117</v>
      </c>
      <c r="C276" s="480"/>
      <c r="D276" s="480"/>
      <c r="E276" s="480"/>
      <c r="F276" s="481"/>
    </row>
    <row r="277" spans="1:6" ht="19.5">
      <c r="A277" s="167">
        <v>15.01</v>
      </c>
      <c r="B277" s="16" t="s">
        <v>64</v>
      </c>
      <c r="C277" s="35" t="s">
        <v>50</v>
      </c>
      <c r="D277" s="123">
        <f>((13.5*3)+((2.5+2+2.5)*3))-(3.78+3)</f>
        <v>54.72</v>
      </c>
      <c r="E277" s="136">
        <f>(F282+F287)/D277</f>
        <v>3649.7107666666675</v>
      </c>
      <c r="F277" s="151">
        <f>E277*D277</f>
        <v>199712.17315200003</v>
      </c>
    </row>
    <row r="278" spans="1:6">
      <c r="A278" s="164"/>
      <c r="B278" s="60" t="s">
        <v>51</v>
      </c>
      <c r="C278" s="44"/>
      <c r="D278" s="116"/>
      <c r="E278" s="131"/>
      <c r="F278" s="153"/>
    </row>
    <row r="279" spans="1:6" s="90" customFormat="1" ht="31.7" customHeight="1">
      <c r="A279" s="162"/>
      <c r="B279" s="48" t="s">
        <v>52</v>
      </c>
      <c r="C279" s="44" t="s">
        <v>12</v>
      </c>
      <c r="D279" s="116">
        <f>D277*0.01*(1/4)*1.54*(1440/50)+(D277*0.003*(1/6)*1.57*(1440/50))</f>
        <v>7.3044633600000006</v>
      </c>
      <c r="E279" s="279">
        <v>11200</v>
      </c>
      <c r="F279" s="153">
        <f>E279*D279</f>
        <v>81809.989632000012</v>
      </c>
    </row>
    <row r="280" spans="1:6">
      <c r="A280" s="187"/>
      <c r="B280" s="48" t="s">
        <v>13</v>
      </c>
      <c r="C280" s="44" t="s">
        <v>28</v>
      </c>
      <c r="D280" s="116">
        <f>D277*0.01*1.5*1.54*(3/4)</f>
        <v>0.94802399999999998</v>
      </c>
      <c r="E280" s="279">
        <v>36500</v>
      </c>
      <c r="F280" s="153">
        <f t="shared" ref="F280:F281" si="12">E280*D280</f>
        <v>34602.875999999997</v>
      </c>
    </row>
    <row r="281" spans="1:6">
      <c r="A281" s="187"/>
      <c r="B281" s="48" t="s">
        <v>65</v>
      </c>
      <c r="C281" s="44" t="s">
        <v>31</v>
      </c>
      <c r="D281" s="116">
        <f>D277*0.003*(5/6)*1.57*(1440/50)</f>
        <v>6.1855488000000012</v>
      </c>
      <c r="E281" s="134">
        <v>10400</v>
      </c>
      <c r="F281" s="153">
        <f t="shared" si="12"/>
        <v>64329.707520000011</v>
      </c>
    </row>
    <row r="282" spans="1:6" ht="18">
      <c r="A282" s="188"/>
      <c r="B282" s="60" t="s">
        <v>5</v>
      </c>
      <c r="C282" s="61"/>
      <c r="D282" s="119"/>
      <c r="E282" s="143"/>
      <c r="F282" s="160">
        <f>SUM(F279:F281)</f>
        <v>180742.57315200003</v>
      </c>
    </row>
    <row r="283" spans="1:6">
      <c r="A283" s="187"/>
      <c r="B283" s="48"/>
      <c r="C283" s="44"/>
      <c r="D283" s="116"/>
      <c r="E283" s="131"/>
      <c r="F283" s="153"/>
    </row>
    <row r="284" spans="1:6">
      <c r="A284" s="187"/>
      <c r="B284" s="60" t="s">
        <v>53</v>
      </c>
      <c r="C284" s="44"/>
      <c r="D284" s="116"/>
      <c r="E284" s="131"/>
      <c r="F284" s="153"/>
    </row>
    <row r="285" spans="1:6">
      <c r="A285" s="187"/>
      <c r="B285" s="48" t="s">
        <v>34</v>
      </c>
      <c r="C285" s="44" t="s">
        <v>8</v>
      </c>
      <c r="D285" s="116">
        <f>D277/15</f>
        <v>3.6480000000000001</v>
      </c>
      <c r="E285" s="131">
        <v>1800</v>
      </c>
      <c r="F285" s="153">
        <f>E285*D285</f>
        <v>6566.4000000000005</v>
      </c>
    </row>
    <row r="286" spans="1:6">
      <c r="A286" s="187"/>
      <c r="B286" s="48" t="s">
        <v>7</v>
      </c>
      <c r="C286" s="44" t="s">
        <v>8</v>
      </c>
      <c r="D286" s="116">
        <f>D285*4</f>
        <v>14.592000000000001</v>
      </c>
      <c r="E286" s="131">
        <v>850</v>
      </c>
      <c r="F286" s="153">
        <f>E286*D286</f>
        <v>12403.2</v>
      </c>
    </row>
    <row r="287" spans="1:6" ht="18">
      <c r="A287" s="188"/>
      <c r="B287" s="96" t="s">
        <v>54</v>
      </c>
      <c r="C287" s="61"/>
      <c r="D287" s="119"/>
      <c r="E287" s="133"/>
      <c r="F287" s="160">
        <f>SUM(F285:F286)</f>
        <v>18969.600000000002</v>
      </c>
    </row>
    <row r="288" spans="1:6">
      <c r="A288" s="164"/>
      <c r="B288" s="97"/>
      <c r="C288" s="23"/>
      <c r="D288" s="116"/>
      <c r="E288" s="131"/>
      <c r="F288" s="287"/>
    </row>
    <row r="289" spans="1:6" ht="19.7" customHeight="1">
      <c r="A289" s="166">
        <v>16</v>
      </c>
      <c r="B289" s="480" t="s">
        <v>143</v>
      </c>
      <c r="C289" s="480"/>
      <c r="D289" s="480"/>
      <c r="E289" s="480"/>
      <c r="F289" s="481"/>
    </row>
    <row r="290" spans="1:6" ht="19.5">
      <c r="A290" s="197">
        <v>16.010000000000002</v>
      </c>
      <c r="B290" s="16" t="s">
        <v>66</v>
      </c>
      <c r="C290" s="35" t="s">
        <v>1</v>
      </c>
      <c r="D290" s="123">
        <f>D277+D248</f>
        <v>88.44</v>
      </c>
      <c r="E290" s="136">
        <f>(F300+F305)/D290</f>
        <v>4555.5141121316501</v>
      </c>
      <c r="F290" s="151">
        <f>E290*D290</f>
        <v>402889.66807692312</v>
      </c>
    </row>
    <row r="291" spans="1:6" ht="19.5">
      <c r="A291" s="202"/>
      <c r="B291" s="60" t="s">
        <v>2</v>
      </c>
      <c r="C291" s="44"/>
      <c r="D291" s="116"/>
      <c r="E291" s="131"/>
      <c r="F291" s="153"/>
    </row>
    <row r="292" spans="1:6" ht="19.5">
      <c r="A292" s="202"/>
      <c r="B292" s="48" t="str">
        <f>'[1]Emulsion Paint'!$B$22</f>
        <v>Emulsion paint ( 3 coats)</v>
      </c>
      <c r="C292" s="44" t="s">
        <v>57</v>
      </c>
      <c r="D292" s="116">
        <f>D290*0.07*3</f>
        <v>18.572400000000002</v>
      </c>
      <c r="E292" s="131">
        <f>75000/D292</f>
        <v>4038.2503069070231</v>
      </c>
      <c r="F292" s="153">
        <f>E292*D292</f>
        <v>75000</v>
      </c>
    </row>
    <row r="293" spans="1:6" ht="19.5">
      <c r="A293" s="300"/>
      <c r="B293" s="48" t="str">
        <f>'[1]Emulsion Paint'!$B$20</f>
        <v>Whiting/stucco ( 2 coats)</v>
      </c>
      <c r="C293" s="44" t="s">
        <v>67</v>
      </c>
      <c r="D293" s="116">
        <f>D290*((50*2)/65)*2</f>
        <v>272.12307692307695</v>
      </c>
      <c r="E293" s="131">
        <f>145000/D293</f>
        <v>532.84712799638169</v>
      </c>
      <c r="F293" s="153">
        <f t="shared" ref="F293:F299" si="13">E293*D293</f>
        <v>145000</v>
      </c>
    </row>
    <row r="294" spans="1:6" ht="19.5">
      <c r="A294" s="237"/>
      <c r="B294" s="48" t="str">
        <f>'[1]Emulsion Paint'!$B$19</f>
        <v>Induit/undercoat ( 2 coats)</v>
      </c>
      <c r="C294" s="44" t="s">
        <v>57</v>
      </c>
      <c r="D294" s="116">
        <f>D290*0.07*2</f>
        <v>12.381600000000001</v>
      </c>
      <c r="E294" s="131">
        <v>1100</v>
      </c>
      <c r="F294" s="153">
        <f t="shared" si="13"/>
        <v>13619.76</v>
      </c>
    </row>
    <row r="295" spans="1:6" ht="19.5">
      <c r="A295" s="237"/>
      <c r="B295" s="48" t="s">
        <v>68</v>
      </c>
      <c r="C295" s="44" t="s">
        <v>57</v>
      </c>
      <c r="D295" s="116">
        <f>D290*((30/65)*2)</f>
        <v>81.636923076923082</v>
      </c>
      <c r="E295" s="131">
        <v>1100</v>
      </c>
      <c r="F295" s="153">
        <f t="shared" si="13"/>
        <v>89800.61538461539</v>
      </c>
    </row>
    <row r="296" spans="1:6" ht="19.5">
      <c r="A296" s="237"/>
      <c r="B296" s="48" t="str">
        <f>'[1]Emulsion Paint'!$B$21</f>
        <v>Colle</v>
      </c>
      <c r="C296" s="44" t="s">
        <v>69</v>
      </c>
      <c r="D296" s="116">
        <f>D290*((1/65)*2)</f>
        <v>2.7212307692307691</v>
      </c>
      <c r="E296" s="131">
        <v>3500</v>
      </c>
      <c r="F296" s="153">
        <f t="shared" si="13"/>
        <v>9524.3076923076915</v>
      </c>
    </row>
    <row r="297" spans="1:6" ht="19.5">
      <c r="A297" s="237"/>
      <c r="B297" s="48" t="str">
        <f>'[1]Emulsion Paint'!$B$24</f>
        <v>Roller</v>
      </c>
      <c r="C297" s="44" t="s">
        <v>44</v>
      </c>
      <c r="D297" s="116">
        <f>D290/100</f>
        <v>0.88439999999999996</v>
      </c>
      <c r="E297" s="131">
        <v>3500</v>
      </c>
      <c r="F297" s="153">
        <f t="shared" si="13"/>
        <v>3095.4</v>
      </c>
    </row>
    <row r="298" spans="1:6" ht="19.5">
      <c r="A298" s="237"/>
      <c r="B298" s="48" t="str">
        <f>'[1]Emulsion Paint'!$B$23</f>
        <v>Brush</v>
      </c>
      <c r="C298" s="44" t="s">
        <v>44</v>
      </c>
      <c r="D298" s="116">
        <f>D290/100</f>
        <v>0.88439999999999996</v>
      </c>
      <c r="E298" s="131">
        <v>3500</v>
      </c>
      <c r="F298" s="153">
        <f t="shared" si="13"/>
        <v>3095.4</v>
      </c>
    </row>
    <row r="299" spans="1:6" ht="19.5">
      <c r="A299" s="237"/>
      <c r="B299" s="48" t="s">
        <v>58</v>
      </c>
      <c r="C299" s="44" t="s">
        <v>59</v>
      </c>
      <c r="D299" s="116">
        <f>D290/100</f>
        <v>0.88439999999999996</v>
      </c>
      <c r="E299" s="131">
        <v>3500</v>
      </c>
      <c r="F299" s="153">
        <f t="shared" si="13"/>
        <v>3095.4</v>
      </c>
    </row>
    <row r="300" spans="1:6" ht="19.5">
      <c r="A300" s="190"/>
      <c r="B300" s="60" t="s">
        <v>5</v>
      </c>
      <c r="C300" s="61"/>
      <c r="D300" s="119"/>
      <c r="E300" s="131"/>
      <c r="F300" s="160">
        <f>SUM(F292:F299)</f>
        <v>342230.88307692314</v>
      </c>
    </row>
    <row r="301" spans="1:6" ht="19.5">
      <c r="A301" s="237"/>
      <c r="B301" s="48"/>
      <c r="C301" s="44"/>
      <c r="D301" s="116"/>
      <c r="F301" s="153"/>
    </row>
    <row r="302" spans="1:6" ht="19.5">
      <c r="A302" s="237"/>
      <c r="B302" s="60" t="s">
        <v>6</v>
      </c>
      <c r="C302" s="44"/>
      <c r="D302" s="116"/>
      <c r="F302" s="153"/>
    </row>
    <row r="303" spans="1:6" ht="19.5">
      <c r="A303" s="237"/>
      <c r="B303" s="48" t="s">
        <v>7</v>
      </c>
      <c r="C303" s="44" t="s">
        <v>62</v>
      </c>
      <c r="D303" s="116">
        <f>D304</f>
        <v>6.5224499999999992</v>
      </c>
      <c r="E303" s="131">
        <v>4500</v>
      </c>
      <c r="F303" s="153">
        <f>E303*D303</f>
        <v>29351.024999999998</v>
      </c>
    </row>
    <row r="304" spans="1:6" ht="19.5">
      <c r="A304" s="237"/>
      <c r="B304" s="48" t="s">
        <v>70</v>
      </c>
      <c r="C304" s="44" t="s">
        <v>62</v>
      </c>
      <c r="D304" s="116">
        <f>D290*(0.59/8)</f>
        <v>6.5224499999999992</v>
      </c>
      <c r="E304" s="131">
        <v>4800</v>
      </c>
      <c r="F304" s="153">
        <f>E304*D304</f>
        <v>31307.759999999995</v>
      </c>
    </row>
    <row r="305" spans="1:6" ht="19.5">
      <c r="A305" s="190"/>
      <c r="B305" s="60" t="s">
        <v>54</v>
      </c>
      <c r="C305" s="61"/>
      <c r="D305" s="119"/>
      <c r="E305" s="133"/>
      <c r="F305" s="160">
        <f>SUM(F303:F304)</f>
        <v>60658.784999999989</v>
      </c>
    </row>
    <row r="306" spans="1:6" ht="19.5" customHeight="1">
      <c r="A306" s="190"/>
      <c r="B306" s="60"/>
      <c r="C306" s="61"/>
      <c r="D306" s="119"/>
      <c r="E306" s="133"/>
      <c r="F306" s="160"/>
    </row>
    <row r="307" spans="1:6" ht="36.75" customHeight="1">
      <c r="A307" s="149">
        <v>17</v>
      </c>
      <c r="B307" s="471" t="s">
        <v>133</v>
      </c>
      <c r="C307" s="471"/>
      <c r="D307" s="471"/>
      <c r="E307" s="471"/>
      <c r="F307" s="472"/>
    </row>
    <row r="308" spans="1:6" ht="19.5">
      <c r="A308" s="200">
        <v>17.010000000000002</v>
      </c>
      <c r="B308" s="2" t="s">
        <v>166</v>
      </c>
      <c r="C308" s="270" t="s">
        <v>131</v>
      </c>
      <c r="D308" s="283">
        <v>2</v>
      </c>
      <c r="E308" s="4">
        <f>(F311+F316)/D308</f>
        <v>78750</v>
      </c>
      <c r="F308" s="301">
        <f>E308*D308</f>
        <v>157500</v>
      </c>
    </row>
    <row r="309" spans="1:6" ht="19.5">
      <c r="A309" s="199"/>
      <c r="B309" s="8" t="s">
        <v>29</v>
      </c>
      <c r="C309" s="9"/>
      <c r="D309" s="116"/>
      <c r="E309" s="131"/>
      <c r="F309" s="153"/>
    </row>
    <row r="310" spans="1:6" ht="19.5">
      <c r="A310" s="198"/>
      <c r="B310" s="48" t="s">
        <v>145</v>
      </c>
      <c r="C310" s="248" t="s">
        <v>131</v>
      </c>
      <c r="D310" s="296">
        <v>2</v>
      </c>
      <c r="E310" s="131">
        <f>35000*(1*1.5)</f>
        <v>52500</v>
      </c>
      <c r="F310" s="302">
        <f>E310*D310</f>
        <v>105000</v>
      </c>
    </row>
    <row r="311" spans="1:6" ht="19.5">
      <c r="A311" s="168"/>
      <c r="B311" s="8" t="s">
        <v>5</v>
      </c>
      <c r="C311" s="12"/>
      <c r="D311" s="119"/>
      <c r="E311" s="133"/>
      <c r="F311" s="160">
        <f>SUM(F310)</f>
        <v>105000</v>
      </c>
    </row>
    <row r="312" spans="1:6" ht="19.5">
      <c r="A312" s="198"/>
      <c r="B312" s="13"/>
      <c r="C312" s="9"/>
      <c r="D312" s="116"/>
      <c r="E312" s="131"/>
      <c r="F312" s="153"/>
    </row>
    <row r="313" spans="1:6" ht="19.5">
      <c r="A313" s="233"/>
      <c r="B313" s="8" t="s">
        <v>33</v>
      </c>
      <c r="C313" s="9"/>
      <c r="D313" s="116"/>
      <c r="E313" s="131"/>
      <c r="F313" s="153"/>
    </row>
    <row r="314" spans="1:6" ht="19.5">
      <c r="A314" s="198"/>
      <c r="B314" s="303" t="s">
        <v>34</v>
      </c>
      <c r="C314" s="9" t="s">
        <v>21</v>
      </c>
      <c r="D314" s="116">
        <f>D310/2</f>
        <v>1</v>
      </c>
      <c r="E314" s="131">
        <f>E310*0.25</f>
        <v>13125</v>
      </c>
      <c r="F314" s="153">
        <f>E314*D314</f>
        <v>13125</v>
      </c>
    </row>
    <row r="315" spans="1:6" ht="19.5">
      <c r="A315" s="198"/>
      <c r="B315" s="13" t="s">
        <v>7</v>
      </c>
      <c r="C315" s="9" t="s">
        <v>21</v>
      </c>
      <c r="D315" s="116">
        <f>+D314*4</f>
        <v>4</v>
      </c>
      <c r="E315" s="131">
        <f>E314*1.5/2</f>
        <v>9843.75</v>
      </c>
      <c r="F315" s="153">
        <f>E315*D315</f>
        <v>39375</v>
      </c>
    </row>
    <row r="316" spans="1:6" ht="19.5">
      <c r="A316" s="168"/>
      <c r="B316" s="8" t="s">
        <v>39</v>
      </c>
      <c r="C316" s="12"/>
      <c r="D316" s="119"/>
      <c r="E316" s="133"/>
      <c r="F316" s="160">
        <f>SUM(F314:F315)</f>
        <v>52500</v>
      </c>
    </row>
    <row r="317" spans="1:6" ht="15.75">
      <c r="A317" s="304"/>
      <c r="B317" s="48"/>
      <c r="C317" s="305"/>
      <c r="D317" s="306"/>
      <c r="E317" s="307"/>
      <c r="F317" s="308"/>
    </row>
    <row r="318" spans="1:6" ht="36.75" customHeight="1">
      <c r="A318" s="149">
        <v>18</v>
      </c>
      <c r="B318" s="471" t="s">
        <v>134</v>
      </c>
      <c r="C318" s="471"/>
      <c r="D318" s="471"/>
      <c r="E318" s="471"/>
      <c r="F318" s="472"/>
    </row>
    <row r="319" spans="1:6" ht="19.5">
      <c r="A319" s="200">
        <v>18.010000000000002</v>
      </c>
      <c r="B319" s="2" t="s">
        <v>169</v>
      </c>
      <c r="C319" s="270" t="s">
        <v>131</v>
      </c>
      <c r="D319" s="283">
        <v>1</v>
      </c>
      <c r="E319" s="298">
        <f>(F322+F327)/D319</f>
        <v>270270.00000000006</v>
      </c>
      <c r="F319" s="309">
        <f>E319*D319</f>
        <v>270270.00000000006</v>
      </c>
    </row>
    <row r="320" spans="1:6" ht="19.5">
      <c r="A320" s="199"/>
      <c r="B320" s="8" t="s">
        <v>29</v>
      </c>
      <c r="C320" s="9"/>
      <c r="D320" s="116"/>
      <c r="E320" s="131"/>
      <c r="F320" s="153"/>
    </row>
    <row r="321" spans="1:6" ht="19.5">
      <c r="A321" s="198"/>
      <c r="B321" s="48" t="s">
        <v>165</v>
      </c>
      <c r="C321" s="248" t="s">
        <v>131</v>
      </c>
      <c r="D321" s="267">
        <v>2</v>
      </c>
      <c r="E321" s="131">
        <f>65000*(0.9*2.1)</f>
        <v>122850.00000000001</v>
      </c>
      <c r="F321" s="310">
        <f>E321*D321</f>
        <v>245700.00000000003</v>
      </c>
    </row>
    <row r="322" spans="1:6" ht="19.5">
      <c r="A322" s="198"/>
      <c r="B322" s="8" t="s">
        <v>5</v>
      </c>
      <c r="C322" s="12"/>
      <c r="D322" s="119"/>
      <c r="E322" s="133"/>
      <c r="F322" s="160">
        <f>SUM(F321)</f>
        <v>245700.00000000003</v>
      </c>
    </row>
    <row r="323" spans="1:6" ht="19.5">
      <c r="A323" s="233"/>
      <c r="B323" s="13"/>
      <c r="C323" s="9"/>
      <c r="D323" s="116"/>
      <c r="E323" s="131"/>
      <c r="F323" s="153"/>
    </row>
    <row r="324" spans="1:6" ht="19.5">
      <c r="A324" s="198"/>
      <c r="B324" s="8" t="s">
        <v>33</v>
      </c>
      <c r="C324" s="9"/>
      <c r="D324" s="116"/>
      <c r="E324" s="131"/>
      <c r="F324" s="153"/>
    </row>
    <row r="325" spans="1:6" ht="19.5">
      <c r="A325" s="198"/>
      <c r="B325" s="13" t="s">
        <v>34</v>
      </c>
      <c r="C325" s="9" t="s">
        <v>21</v>
      </c>
      <c r="D325" s="116">
        <f>D319/2</f>
        <v>0.5</v>
      </c>
      <c r="E325" s="131">
        <f>E321*0.1</f>
        <v>12285.000000000002</v>
      </c>
      <c r="F325" s="153">
        <f>E325*D325</f>
        <v>6142.5000000000009</v>
      </c>
    </row>
    <row r="326" spans="1:6" ht="19.5">
      <c r="A326" s="168"/>
      <c r="B326" s="13" t="s">
        <v>7</v>
      </c>
      <c r="C326" s="9" t="s">
        <v>21</v>
      </c>
      <c r="D326" s="116">
        <f>+D325*4</f>
        <v>2</v>
      </c>
      <c r="E326" s="131">
        <f>E325*1.5/2</f>
        <v>9213.7500000000018</v>
      </c>
      <c r="F326" s="153">
        <f>E326*D326</f>
        <v>18427.500000000004</v>
      </c>
    </row>
    <row r="327" spans="1:6">
      <c r="A327" s="311"/>
      <c r="B327" s="312" t="s">
        <v>39</v>
      </c>
      <c r="C327" s="242"/>
      <c r="D327" s="194"/>
      <c r="E327" s="195"/>
      <c r="F327" s="196">
        <f>SUM(F325:F326)</f>
        <v>24570.000000000004</v>
      </c>
    </row>
    <row r="328" spans="1:6" s="340" customFormat="1" ht="37.5">
      <c r="A328" s="338"/>
      <c r="B328" s="473" t="s">
        <v>179</v>
      </c>
      <c r="C328" s="473"/>
      <c r="D328" s="473"/>
      <c r="E328" s="473"/>
      <c r="F328" s="339">
        <f>F319+F308+F290+F277+F260+F248+F236+F217+F197+F183+F172+F160+F147+F136+F125+F112+F100+F89+F78+F58+F40+F30+F22+F14+F7+F3</f>
        <v>5413231.6281197732</v>
      </c>
    </row>
  </sheetData>
  <mergeCells count="15">
    <mergeCell ref="B328:E328"/>
    <mergeCell ref="B77:F77"/>
    <mergeCell ref="B2:F2"/>
    <mergeCell ref="B124:F124"/>
    <mergeCell ref="B289:F289"/>
    <mergeCell ref="B307:F307"/>
    <mergeCell ref="B318:F318"/>
    <mergeCell ref="B247:F247"/>
    <mergeCell ref="B13:F13"/>
    <mergeCell ref="B39:F39"/>
    <mergeCell ref="B159:F159"/>
    <mergeCell ref="B182:F182"/>
    <mergeCell ref="B196:F196"/>
    <mergeCell ref="B216:F216"/>
    <mergeCell ref="B276:F276"/>
  </mergeCells>
  <pageMargins left="0.7" right="0.7" top="0.75" bottom="0.75" header="0.3" footer="0.3"/>
  <ignoredErrors>
    <ignoredError sqref="F21 F29 F88 F9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6"/>
  <sheetViews>
    <sheetView tabSelected="1" workbookViewId="0">
      <selection activeCell="F121" sqref="F121"/>
    </sheetView>
  </sheetViews>
  <sheetFormatPr defaultColWidth="8.85546875" defaultRowHeight="15"/>
  <cols>
    <col min="1" max="1" width="8.85546875" style="348"/>
    <col min="2" max="2" width="56.42578125" style="208" customWidth="1"/>
    <col min="3" max="3" width="10.85546875" style="70" customWidth="1"/>
    <col min="4" max="4" width="15.85546875" style="140" customWidth="1"/>
    <col min="5" max="5" width="18.42578125" style="337" customWidth="1"/>
    <col min="6" max="6" width="31.85546875" style="337" customWidth="1"/>
    <col min="8" max="8" width="11" bestFit="1" customWidth="1"/>
  </cols>
  <sheetData>
    <row r="1" spans="1:8" s="225" customFormat="1" ht="30.75" customHeight="1">
      <c r="A1" s="394"/>
      <c r="B1" s="148" t="s">
        <v>120</v>
      </c>
      <c r="C1" s="148" t="s">
        <v>121</v>
      </c>
      <c r="D1" s="319" t="s">
        <v>122</v>
      </c>
      <c r="E1" s="297" t="s">
        <v>123</v>
      </c>
      <c r="F1" s="299" t="s">
        <v>124</v>
      </c>
    </row>
    <row r="2" spans="1:8" s="82" customFormat="1" ht="19.5">
      <c r="A2" s="409">
        <v>1</v>
      </c>
      <c r="B2" s="487" t="s">
        <v>178</v>
      </c>
      <c r="C2" s="488"/>
      <c r="D2" s="488"/>
      <c r="E2" s="489"/>
      <c r="F2" s="452">
        <f>F4+F14+F35+F45</f>
        <v>8519401.2527777776</v>
      </c>
    </row>
    <row r="3" spans="1:8" s="82" customFormat="1" ht="22.5">
      <c r="A3" s="418"/>
      <c r="B3" s="496" t="s">
        <v>163</v>
      </c>
      <c r="C3" s="496"/>
      <c r="D3" s="496"/>
      <c r="E3" s="496"/>
      <c r="F3" s="497"/>
    </row>
    <row r="4" spans="1:8" s="261" customFormat="1" ht="19.5" customHeight="1">
      <c r="A4" s="419">
        <v>1.01</v>
      </c>
      <c r="B4" s="16" t="s">
        <v>142</v>
      </c>
      <c r="C4" s="3" t="s">
        <v>50</v>
      </c>
      <c r="D4" s="115">
        <f>((3.2*22)*2)+(25.175)</f>
        <v>165.97500000000002</v>
      </c>
      <c r="E4" s="132">
        <f>(F13+F9)/D4</f>
        <v>7826.3333333333339</v>
      </c>
      <c r="F4" s="158">
        <f>E4*D4</f>
        <v>1298975.6750000003</v>
      </c>
    </row>
    <row r="5" spans="1:8" ht="19.5" customHeight="1">
      <c r="A5" s="420"/>
      <c r="B5" s="258" t="s">
        <v>136</v>
      </c>
      <c r="C5" s="256"/>
      <c r="D5" s="116"/>
      <c r="E5" s="321"/>
      <c r="F5" s="421"/>
    </row>
    <row r="6" spans="1:8" ht="19.5" customHeight="1">
      <c r="A6" s="420"/>
      <c r="B6" s="255" t="s">
        <v>144</v>
      </c>
      <c r="C6" s="256" t="s">
        <v>1</v>
      </c>
      <c r="D6" s="329">
        <f>D4*1.03</f>
        <v>170.95425000000003</v>
      </c>
      <c r="E6" s="322">
        <v>6100</v>
      </c>
      <c r="F6" s="422">
        <f>E6*D6</f>
        <v>1042820.9250000002</v>
      </c>
    </row>
    <row r="7" spans="1:8" ht="19.5" customHeight="1">
      <c r="A7" s="420"/>
      <c r="B7" s="255" t="s">
        <v>137</v>
      </c>
      <c r="C7" s="256" t="s">
        <v>138</v>
      </c>
      <c r="D7" s="329">
        <f>D4/100</f>
        <v>1.6597500000000003</v>
      </c>
      <c r="E7" s="322">
        <v>5500</v>
      </c>
      <c r="F7" s="422">
        <f t="shared" ref="F7:F8" si="0">E7*D7</f>
        <v>9128.6250000000018</v>
      </c>
    </row>
    <row r="8" spans="1:8" s="55" customFormat="1" ht="19.5" customHeight="1">
      <c r="A8" s="420"/>
      <c r="B8" s="255" t="s">
        <v>139</v>
      </c>
      <c r="C8" s="256" t="s">
        <v>140</v>
      </c>
      <c r="D8" s="329">
        <f>D4/80</f>
        <v>2.0746875000000005</v>
      </c>
      <c r="E8" s="322">
        <v>6000</v>
      </c>
      <c r="F8" s="422">
        <f t="shared" si="0"/>
        <v>12448.125000000004</v>
      </c>
    </row>
    <row r="9" spans="1:8" ht="19.5" customHeight="1">
      <c r="A9" s="420"/>
      <c r="B9" s="258" t="s">
        <v>5</v>
      </c>
      <c r="C9" s="256"/>
      <c r="D9" s="329"/>
      <c r="E9" s="322"/>
      <c r="F9" s="423">
        <f>SUM(F6:F8)</f>
        <v>1064397.6750000003</v>
      </c>
    </row>
    <row r="10" spans="1:8" ht="19.5" customHeight="1">
      <c r="A10" s="395"/>
      <c r="B10" s="96" t="s">
        <v>6</v>
      </c>
      <c r="C10" s="23"/>
      <c r="D10" s="116"/>
      <c r="E10" s="131"/>
      <c r="F10" s="287"/>
    </row>
    <row r="11" spans="1:8" ht="19.5" customHeight="1">
      <c r="A11" s="395"/>
      <c r="B11" s="97" t="s">
        <v>90</v>
      </c>
      <c r="C11" s="23" t="s">
        <v>21</v>
      </c>
      <c r="D11" s="116">
        <f>D4/15</f>
        <v>11.065000000000001</v>
      </c>
      <c r="E11" s="131">
        <v>7600</v>
      </c>
      <c r="F11" s="287">
        <f>E11*D11</f>
        <v>84094.000000000015</v>
      </c>
    </row>
    <row r="12" spans="1:8" ht="19.5" customHeight="1">
      <c r="A12" s="395"/>
      <c r="B12" s="97" t="s">
        <v>25</v>
      </c>
      <c r="C12" s="23" t="s">
        <v>21</v>
      </c>
      <c r="D12" s="116">
        <f>D11*2</f>
        <v>22.130000000000003</v>
      </c>
      <c r="E12" s="131">
        <v>6800</v>
      </c>
      <c r="F12" s="287">
        <f>E12*D12</f>
        <v>150484.00000000003</v>
      </c>
      <c r="H12" s="55"/>
    </row>
    <row r="13" spans="1:8" s="55" customFormat="1" ht="19.5" customHeight="1">
      <c r="A13" s="396"/>
      <c r="B13" s="11" t="s">
        <v>9</v>
      </c>
      <c r="C13" s="28"/>
      <c r="D13" s="120"/>
      <c r="E13" s="133"/>
      <c r="F13" s="288">
        <f>SUM(F11:F12)</f>
        <v>234578.00000000006</v>
      </c>
      <c r="H13"/>
    </row>
    <row r="14" spans="1:8" ht="19.5">
      <c r="A14" s="397">
        <v>1.02</v>
      </c>
      <c r="B14" s="16" t="s">
        <v>147</v>
      </c>
      <c r="C14" s="3" t="s">
        <v>148</v>
      </c>
      <c r="D14" s="115">
        <f>420+80</f>
        <v>500</v>
      </c>
      <c r="E14" s="132">
        <f>(F23+F28+F33)/D14</f>
        <v>7175.3333333333321</v>
      </c>
      <c r="F14" s="158">
        <f>E14*D14</f>
        <v>3587666.666666666</v>
      </c>
    </row>
    <row r="15" spans="1:8" ht="19.5">
      <c r="A15" s="396"/>
      <c r="B15" s="258" t="s">
        <v>149</v>
      </c>
      <c r="C15" s="256"/>
      <c r="D15" s="116"/>
      <c r="E15" s="321"/>
      <c r="F15" s="421"/>
    </row>
    <row r="16" spans="1:8" ht="19.5">
      <c r="A16" s="398"/>
      <c r="B16" s="255" t="s">
        <v>150</v>
      </c>
      <c r="C16" s="256" t="s">
        <v>151</v>
      </c>
      <c r="D16" s="329">
        <f>(D14/6)*1.2</f>
        <v>99.999999999999986</v>
      </c>
      <c r="E16" s="322">
        <v>30500</v>
      </c>
      <c r="F16" s="422">
        <f>E16*D16</f>
        <v>3049999.9999999995</v>
      </c>
    </row>
    <row r="17" spans="1:8" ht="19.5">
      <c r="A17" s="398"/>
      <c r="B17" s="255" t="s">
        <v>152</v>
      </c>
      <c r="C17" s="256" t="s">
        <v>151</v>
      </c>
      <c r="D17" s="257">
        <f>(D16)/5</f>
        <v>19.999999999999996</v>
      </c>
      <c r="E17" s="322">
        <v>4500</v>
      </c>
      <c r="F17" s="422">
        <f t="shared" ref="F17:F22" si="1">E17*D17</f>
        <v>89999.999999999985</v>
      </c>
    </row>
    <row r="18" spans="1:8" ht="19.5">
      <c r="A18" s="398"/>
      <c r="B18" s="255" t="s">
        <v>153</v>
      </c>
      <c r="C18" s="256" t="s">
        <v>154</v>
      </c>
      <c r="D18" s="257">
        <f>(D17)/5</f>
        <v>3.9999999999999991</v>
      </c>
      <c r="E18" s="322">
        <v>7500</v>
      </c>
      <c r="F18" s="422">
        <f t="shared" si="1"/>
        <v>29999.999999999993</v>
      </c>
    </row>
    <row r="19" spans="1:8" ht="19.5">
      <c r="A19" s="395"/>
      <c r="B19" s="255" t="s">
        <v>155</v>
      </c>
      <c r="C19" s="256" t="s">
        <v>4</v>
      </c>
      <c r="D19" s="257">
        <f>(D16)/5</f>
        <v>19.999999999999996</v>
      </c>
      <c r="E19" s="322">
        <v>3500</v>
      </c>
      <c r="F19" s="422">
        <f t="shared" si="1"/>
        <v>69999.999999999985</v>
      </c>
    </row>
    <row r="20" spans="1:8" ht="19.5">
      <c r="A20" s="395"/>
      <c r="B20" s="255" t="s">
        <v>156</v>
      </c>
      <c r="C20" s="256" t="s">
        <v>4</v>
      </c>
      <c r="D20" s="257">
        <f>(D16)/5</f>
        <v>19.999999999999996</v>
      </c>
      <c r="E20" s="322">
        <v>1800</v>
      </c>
      <c r="F20" s="422">
        <f t="shared" si="1"/>
        <v>35999.999999999993</v>
      </c>
    </row>
    <row r="21" spans="1:8" ht="19.5">
      <c r="A21" s="395"/>
      <c r="B21" s="255" t="s">
        <v>157</v>
      </c>
      <c r="C21" s="256" t="s">
        <v>4</v>
      </c>
      <c r="D21" s="257">
        <f>D16/2</f>
        <v>49.999999999999993</v>
      </c>
      <c r="E21" s="322">
        <v>2000</v>
      </c>
      <c r="F21" s="422">
        <f t="shared" si="1"/>
        <v>99999.999999999985</v>
      </c>
    </row>
    <row r="22" spans="1:8" ht="19.5">
      <c r="A22" s="396"/>
      <c r="B22" s="255" t="s">
        <v>158</v>
      </c>
      <c r="C22" s="256" t="s">
        <v>159</v>
      </c>
      <c r="D22" s="257">
        <f>D16/30</f>
        <v>3.333333333333333</v>
      </c>
      <c r="E22" s="322">
        <v>12500</v>
      </c>
      <c r="F22" s="422">
        <f t="shared" si="1"/>
        <v>41666.666666666664</v>
      </c>
    </row>
    <row r="23" spans="1:8" ht="19.5">
      <c r="A23" s="424"/>
      <c r="B23" s="258" t="s">
        <v>5</v>
      </c>
      <c r="C23" s="265"/>
      <c r="D23" s="266"/>
      <c r="E23" s="323"/>
      <c r="F23" s="423">
        <f>SUM(F16:F22)</f>
        <v>3417666.666666666</v>
      </c>
    </row>
    <row r="24" spans="1:8" ht="15.75">
      <c r="A24" s="425"/>
      <c r="B24" s="255"/>
      <c r="C24" s="256"/>
      <c r="D24" s="257"/>
      <c r="E24" s="322"/>
      <c r="F24" s="422"/>
    </row>
    <row r="25" spans="1:8" ht="16.5">
      <c r="A25" s="425"/>
      <c r="B25" s="258" t="s">
        <v>141</v>
      </c>
      <c r="C25" s="256"/>
      <c r="D25" s="257"/>
      <c r="E25" s="322"/>
      <c r="F25" s="422"/>
    </row>
    <row r="26" spans="1:8" ht="15.75">
      <c r="A26" s="425"/>
      <c r="B26" s="95" t="s">
        <v>160</v>
      </c>
      <c r="C26" s="256" t="s">
        <v>62</v>
      </c>
      <c r="D26" s="257">
        <f>D31</f>
        <v>6.6666666666666661</v>
      </c>
      <c r="E26" s="322">
        <v>5500</v>
      </c>
      <c r="F26" s="422">
        <f>E26*D26</f>
        <v>36666.666666666664</v>
      </c>
    </row>
    <row r="27" spans="1:8" ht="15.75">
      <c r="A27" s="425"/>
      <c r="B27" s="48" t="s">
        <v>161</v>
      </c>
      <c r="C27" s="256" t="s">
        <v>62</v>
      </c>
      <c r="D27" s="257">
        <f>D26</f>
        <v>6.6666666666666661</v>
      </c>
      <c r="E27" s="322">
        <v>4500</v>
      </c>
      <c r="F27" s="422">
        <f>E27*D27</f>
        <v>29999.999999999996</v>
      </c>
      <c r="H27" s="63"/>
    </row>
    <row r="28" spans="1:8" s="63" customFormat="1" ht="16.5">
      <c r="A28" s="426"/>
      <c r="B28" s="60" t="s">
        <v>173</v>
      </c>
      <c r="C28" s="265"/>
      <c r="D28" s="266"/>
      <c r="E28" s="323"/>
      <c r="F28" s="423">
        <f>SUM(F26:F27)</f>
        <v>66666.666666666657</v>
      </c>
      <c r="H28"/>
    </row>
    <row r="29" spans="1:8" ht="15.75">
      <c r="A29" s="425"/>
      <c r="B29" s="427"/>
      <c r="C29" s="305"/>
      <c r="D29" s="317"/>
      <c r="E29" s="307"/>
      <c r="F29" s="308"/>
    </row>
    <row r="30" spans="1:8" ht="16.5">
      <c r="A30" s="425"/>
      <c r="B30" s="96" t="s">
        <v>6</v>
      </c>
      <c r="C30" s="23"/>
      <c r="D30" s="116"/>
      <c r="E30" s="131"/>
      <c r="F30" s="287"/>
    </row>
    <row r="31" spans="1:8" ht="15.75">
      <c r="A31" s="425"/>
      <c r="B31" s="97" t="s">
        <v>162</v>
      </c>
      <c r="C31" s="23" t="s">
        <v>21</v>
      </c>
      <c r="D31" s="116">
        <f>D16/15</f>
        <v>6.6666666666666661</v>
      </c>
      <c r="E31" s="131">
        <v>6500</v>
      </c>
      <c r="F31" s="287">
        <f>E31*D31</f>
        <v>43333.333333333328</v>
      </c>
    </row>
    <row r="32" spans="1:8" ht="15.75">
      <c r="A32" s="425"/>
      <c r="B32" s="97" t="s">
        <v>25</v>
      </c>
      <c r="C32" s="23" t="s">
        <v>21</v>
      </c>
      <c r="D32" s="116">
        <f>D31*2</f>
        <v>13.333333333333332</v>
      </c>
      <c r="E32" s="131">
        <v>4500</v>
      </c>
      <c r="F32" s="287">
        <f>E32*D32</f>
        <v>59999.999999999993</v>
      </c>
    </row>
    <row r="33" spans="1:6" ht="16.5">
      <c r="A33" s="425"/>
      <c r="B33" s="11" t="s">
        <v>9</v>
      </c>
      <c r="C33" s="28"/>
      <c r="D33" s="120"/>
      <c r="E33" s="133"/>
      <c r="F33" s="288">
        <f>SUM(F31:F32)</f>
        <v>103333.33333333331</v>
      </c>
    </row>
    <row r="34" spans="1:6" ht="22.5">
      <c r="A34" s="425"/>
      <c r="B34" s="498" t="s">
        <v>164</v>
      </c>
      <c r="C34" s="498"/>
      <c r="D34" s="498"/>
      <c r="E34" s="498"/>
      <c r="F34" s="499"/>
    </row>
    <row r="35" spans="1:6" ht="19.5">
      <c r="A35" s="419">
        <v>1.03</v>
      </c>
      <c r="B35" s="16" t="s">
        <v>142</v>
      </c>
      <c r="C35" s="3" t="s">
        <v>50</v>
      </c>
      <c r="D35" s="115">
        <f>(4.6*13)*2</f>
        <v>119.6</v>
      </c>
      <c r="E35" s="132">
        <f>(F40+F44)/D35</f>
        <v>7826.3333333333339</v>
      </c>
      <c r="F35" s="158">
        <f>E35*D35</f>
        <v>936029.46666666667</v>
      </c>
    </row>
    <row r="36" spans="1:6" ht="19.5">
      <c r="A36" s="420"/>
      <c r="B36" s="258" t="s">
        <v>136</v>
      </c>
      <c r="C36" s="256"/>
      <c r="D36" s="116"/>
      <c r="E36" s="321"/>
      <c r="F36" s="421"/>
    </row>
    <row r="37" spans="1:6" ht="19.5">
      <c r="A37" s="420"/>
      <c r="B37" s="255" t="s">
        <v>144</v>
      </c>
      <c r="C37" s="256" t="s">
        <v>1</v>
      </c>
      <c r="D37" s="329">
        <f>D35*1.03</f>
        <v>123.188</v>
      </c>
      <c r="E37" s="322">
        <v>6100</v>
      </c>
      <c r="F37" s="422">
        <f>E37*D37</f>
        <v>751446.8</v>
      </c>
    </row>
    <row r="38" spans="1:6" ht="19.5">
      <c r="A38" s="420"/>
      <c r="B38" s="255" t="s">
        <v>137</v>
      </c>
      <c r="C38" s="256" t="s">
        <v>138</v>
      </c>
      <c r="D38" s="329">
        <f>D35/100</f>
        <v>1.196</v>
      </c>
      <c r="E38" s="322">
        <v>5500</v>
      </c>
      <c r="F38" s="422">
        <f t="shared" ref="F38:F39" si="2">E38*D38</f>
        <v>6578</v>
      </c>
    </row>
    <row r="39" spans="1:6" ht="19.5">
      <c r="A39" s="420"/>
      <c r="B39" s="255" t="s">
        <v>139</v>
      </c>
      <c r="C39" s="256" t="s">
        <v>140</v>
      </c>
      <c r="D39" s="329">
        <f>D35/80</f>
        <v>1.4949999999999999</v>
      </c>
      <c r="E39" s="322">
        <v>6000</v>
      </c>
      <c r="F39" s="422">
        <f t="shared" si="2"/>
        <v>8970</v>
      </c>
    </row>
    <row r="40" spans="1:6" ht="19.5">
      <c r="A40" s="420"/>
      <c r="B40" s="258" t="s">
        <v>5</v>
      </c>
      <c r="C40" s="256"/>
      <c r="D40" s="329"/>
      <c r="E40" s="322"/>
      <c r="F40" s="423">
        <f>SUM(F37:F39)</f>
        <v>766994.8</v>
      </c>
    </row>
    <row r="41" spans="1:6" ht="19.5">
      <c r="A41" s="395"/>
      <c r="B41" s="96" t="s">
        <v>6</v>
      </c>
      <c r="C41" s="23"/>
      <c r="D41" s="116"/>
      <c r="E41" s="131"/>
      <c r="F41" s="287"/>
    </row>
    <row r="42" spans="1:6" ht="19.5">
      <c r="A42" s="395"/>
      <c r="B42" s="97" t="s">
        <v>90</v>
      </c>
      <c r="C42" s="23" t="s">
        <v>21</v>
      </c>
      <c r="D42" s="116">
        <f>D35/15</f>
        <v>7.9733333333333327</v>
      </c>
      <c r="E42" s="131">
        <v>7600</v>
      </c>
      <c r="F42" s="287">
        <f>E42*D42</f>
        <v>60597.333333333328</v>
      </c>
    </row>
    <row r="43" spans="1:6" ht="19.5">
      <c r="A43" s="395"/>
      <c r="B43" s="97" t="s">
        <v>25</v>
      </c>
      <c r="C43" s="23" t="s">
        <v>21</v>
      </c>
      <c r="D43" s="116">
        <f>D42*2</f>
        <v>15.946666666666665</v>
      </c>
      <c r="E43" s="131">
        <v>6800</v>
      </c>
      <c r="F43" s="287">
        <f>E43*D43</f>
        <v>108437.33333333333</v>
      </c>
    </row>
    <row r="44" spans="1:6" ht="19.5">
      <c r="A44" s="396"/>
      <c r="B44" s="11" t="s">
        <v>9</v>
      </c>
      <c r="C44" s="28"/>
      <c r="D44" s="120"/>
      <c r="E44" s="133"/>
      <c r="F44" s="288">
        <f>SUM(F42:F43)</f>
        <v>169034.66666666666</v>
      </c>
    </row>
    <row r="45" spans="1:6" ht="19.5">
      <c r="A45" s="397">
        <v>1.04</v>
      </c>
      <c r="B45" s="16" t="s">
        <v>147</v>
      </c>
      <c r="C45" s="3" t="s">
        <v>148</v>
      </c>
      <c r="D45" s="115">
        <f>260+150</f>
        <v>410</v>
      </c>
      <c r="E45" s="132">
        <f>(F54+F59+F64)/D45</f>
        <v>6577.3888888888878</v>
      </c>
      <c r="F45" s="158">
        <f>E45*D45</f>
        <v>2696729.444444444</v>
      </c>
    </row>
    <row r="46" spans="1:6" ht="19.5">
      <c r="A46" s="396"/>
      <c r="B46" s="258" t="s">
        <v>149</v>
      </c>
      <c r="C46" s="256"/>
      <c r="D46" s="116"/>
      <c r="E46" s="321"/>
      <c r="F46" s="421"/>
    </row>
    <row r="47" spans="1:6" ht="19.5">
      <c r="A47" s="398"/>
      <c r="B47" s="255" t="s">
        <v>150</v>
      </c>
      <c r="C47" s="256" t="s">
        <v>151</v>
      </c>
      <c r="D47" s="329">
        <f>(D45/6)*1.1</f>
        <v>75.166666666666671</v>
      </c>
      <c r="E47" s="322">
        <v>30500</v>
      </c>
      <c r="F47" s="422">
        <f>E47*D47</f>
        <v>2292583.3333333335</v>
      </c>
    </row>
    <row r="48" spans="1:6" ht="19.5">
      <c r="A48" s="398"/>
      <c r="B48" s="255" t="s">
        <v>152</v>
      </c>
      <c r="C48" s="256" t="s">
        <v>151</v>
      </c>
      <c r="D48" s="257">
        <f>(D47)/5</f>
        <v>15.033333333333335</v>
      </c>
      <c r="E48" s="322">
        <v>4500</v>
      </c>
      <c r="F48" s="422">
        <f t="shared" ref="F48:F53" si="3">E48*D48</f>
        <v>67650.000000000015</v>
      </c>
    </row>
    <row r="49" spans="1:8" ht="19.5">
      <c r="A49" s="398"/>
      <c r="B49" s="255" t="s">
        <v>153</v>
      </c>
      <c r="C49" s="256" t="s">
        <v>154</v>
      </c>
      <c r="D49" s="257">
        <f>(D48)/5</f>
        <v>3.0066666666666668</v>
      </c>
      <c r="E49" s="322">
        <v>7500</v>
      </c>
      <c r="F49" s="422">
        <f t="shared" si="3"/>
        <v>22550</v>
      </c>
    </row>
    <row r="50" spans="1:8" ht="19.5">
      <c r="A50" s="395"/>
      <c r="B50" s="255" t="s">
        <v>155</v>
      </c>
      <c r="C50" s="256" t="s">
        <v>4</v>
      </c>
      <c r="D50" s="257">
        <f>(D47)/5</f>
        <v>15.033333333333335</v>
      </c>
      <c r="E50" s="322">
        <v>3500</v>
      </c>
      <c r="F50" s="422">
        <f t="shared" si="3"/>
        <v>52616.666666666672</v>
      </c>
    </row>
    <row r="51" spans="1:8" ht="19.5">
      <c r="A51" s="395"/>
      <c r="B51" s="255" t="s">
        <v>156</v>
      </c>
      <c r="C51" s="256" t="s">
        <v>4</v>
      </c>
      <c r="D51" s="257">
        <f>(D47)/5</f>
        <v>15.033333333333335</v>
      </c>
      <c r="E51" s="322">
        <v>1800</v>
      </c>
      <c r="F51" s="422">
        <f t="shared" si="3"/>
        <v>27060.000000000004</v>
      </c>
    </row>
    <row r="52" spans="1:8" ht="19.5">
      <c r="A52" s="395"/>
      <c r="B52" s="255" t="s">
        <v>157</v>
      </c>
      <c r="C52" s="256" t="s">
        <v>4</v>
      </c>
      <c r="D52" s="257">
        <f>D47/2</f>
        <v>37.583333333333336</v>
      </c>
      <c r="E52" s="322">
        <v>2000</v>
      </c>
      <c r="F52" s="422">
        <f t="shared" si="3"/>
        <v>75166.666666666672</v>
      </c>
    </row>
    <row r="53" spans="1:8" ht="19.5">
      <c r="A53" s="396"/>
      <c r="B53" s="255" t="s">
        <v>158</v>
      </c>
      <c r="C53" s="256" t="s">
        <v>159</v>
      </c>
      <c r="D53" s="257">
        <f>D47/30</f>
        <v>2.5055555555555555</v>
      </c>
      <c r="E53" s="322">
        <v>12500</v>
      </c>
      <c r="F53" s="422">
        <f t="shared" si="3"/>
        <v>31319.444444444445</v>
      </c>
    </row>
    <row r="54" spans="1:8" ht="19.5">
      <c r="A54" s="424"/>
      <c r="B54" s="258" t="s">
        <v>5</v>
      </c>
      <c r="C54" s="265"/>
      <c r="D54" s="266"/>
      <c r="E54" s="323"/>
      <c r="F54" s="423">
        <f>SUM(F47:F53)</f>
        <v>2568946.111111111</v>
      </c>
    </row>
    <row r="55" spans="1:8" ht="15.75">
      <c r="A55" s="425"/>
      <c r="B55" s="255"/>
      <c r="C55" s="256"/>
      <c r="D55" s="257"/>
      <c r="E55" s="322"/>
      <c r="F55" s="422"/>
    </row>
    <row r="56" spans="1:8" ht="16.5">
      <c r="A56" s="425"/>
      <c r="B56" s="258" t="s">
        <v>141</v>
      </c>
      <c r="C56" s="256"/>
      <c r="D56" s="257"/>
      <c r="E56" s="322"/>
      <c r="F56" s="422"/>
    </row>
    <row r="57" spans="1:8" ht="15.75">
      <c r="A57" s="425"/>
      <c r="B57" s="95" t="s">
        <v>160</v>
      </c>
      <c r="C57" s="256" t="s">
        <v>62</v>
      </c>
      <c r="D57" s="257">
        <f>D62</f>
        <v>5.0111111111111111</v>
      </c>
      <c r="E57" s="322">
        <v>5500</v>
      </c>
      <c r="F57" s="422">
        <f>E57*D57</f>
        <v>27561.111111111109</v>
      </c>
    </row>
    <row r="58" spans="1:8" ht="15.75">
      <c r="A58" s="425"/>
      <c r="B58" s="48" t="s">
        <v>161</v>
      </c>
      <c r="C58" s="256" t="s">
        <v>62</v>
      </c>
      <c r="D58" s="257">
        <f>D57</f>
        <v>5.0111111111111111</v>
      </c>
      <c r="E58" s="322">
        <v>4500</v>
      </c>
      <c r="F58" s="422">
        <f t="shared" ref="F58" si="4">E58*D58</f>
        <v>22550</v>
      </c>
      <c r="H58" s="63"/>
    </row>
    <row r="59" spans="1:8" s="63" customFormat="1" ht="16.5">
      <c r="A59" s="426"/>
      <c r="B59" s="60" t="s">
        <v>173</v>
      </c>
      <c r="C59" s="265"/>
      <c r="D59" s="266"/>
      <c r="E59" s="323"/>
      <c r="F59" s="423">
        <f>SUM(F57:F58)</f>
        <v>50111.111111111109</v>
      </c>
      <c r="H59"/>
    </row>
    <row r="60" spans="1:8" ht="15.75">
      <c r="A60" s="425"/>
      <c r="B60" s="427"/>
      <c r="C60" s="305"/>
      <c r="D60" s="317"/>
      <c r="E60" s="307"/>
      <c r="F60" s="308"/>
    </row>
    <row r="61" spans="1:8" ht="16.5">
      <c r="A61" s="425"/>
      <c r="B61" s="96" t="s">
        <v>6</v>
      </c>
      <c r="C61" s="23"/>
      <c r="D61" s="116"/>
      <c r="E61" s="131"/>
      <c r="F61" s="287"/>
    </row>
    <row r="62" spans="1:8" ht="15.75">
      <c r="A62" s="425"/>
      <c r="B62" s="97" t="s">
        <v>162</v>
      </c>
      <c r="C62" s="23" t="s">
        <v>21</v>
      </c>
      <c r="D62" s="116">
        <f>D47/15</f>
        <v>5.0111111111111111</v>
      </c>
      <c r="E62" s="131">
        <v>6500</v>
      </c>
      <c r="F62" s="287">
        <f>E62*D62</f>
        <v>32572.222222222223</v>
      </c>
    </row>
    <row r="63" spans="1:8" ht="15.75">
      <c r="A63" s="425"/>
      <c r="B63" s="97" t="s">
        <v>25</v>
      </c>
      <c r="C63" s="23" t="s">
        <v>21</v>
      </c>
      <c r="D63" s="116">
        <f>D62*2</f>
        <v>10.022222222222222</v>
      </c>
      <c r="E63" s="131">
        <v>4500</v>
      </c>
      <c r="F63" s="287">
        <f>E63*D63</f>
        <v>45100</v>
      </c>
    </row>
    <row r="64" spans="1:8" ht="16.5">
      <c r="A64" s="425"/>
      <c r="B64" s="11" t="s">
        <v>9</v>
      </c>
      <c r="C64" s="28"/>
      <c r="D64" s="120"/>
      <c r="E64" s="133"/>
      <c r="F64" s="288">
        <f>SUM(F62:F63)</f>
        <v>77672.222222222219</v>
      </c>
    </row>
    <row r="65" spans="1:9" ht="16.5">
      <c r="A65" s="425"/>
      <c r="B65" s="11"/>
      <c r="C65" s="28"/>
      <c r="D65" s="120"/>
      <c r="E65" s="133"/>
      <c r="F65" s="288"/>
    </row>
    <row r="66" spans="1:9" ht="19.5">
      <c r="A66" s="428">
        <v>2</v>
      </c>
      <c r="B66" s="490" t="s">
        <v>177</v>
      </c>
      <c r="C66" s="491"/>
      <c r="D66" s="491"/>
      <c r="E66" s="492"/>
      <c r="F66" s="453"/>
    </row>
    <row r="67" spans="1:9" ht="22.5">
      <c r="A67" s="428"/>
      <c r="B67" s="496" t="s">
        <v>163</v>
      </c>
      <c r="C67" s="496"/>
      <c r="D67" s="496"/>
      <c r="E67" s="496"/>
      <c r="F67" s="497"/>
    </row>
    <row r="68" spans="1:9" ht="20.45" customHeight="1">
      <c r="A68" s="429">
        <v>2.0099999999999998</v>
      </c>
      <c r="B68" s="2" t="s">
        <v>176</v>
      </c>
      <c r="C68" s="260" t="s">
        <v>1</v>
      </c>
      <c r="D68" s="330">
        <f>(22*6)+(5*6)</f>
        <v>162</v>
      </c>
      <c r="E68" s="334">
        <f>(F73+F78)/D68</f>
        <v>8182.4222222222215</v>
      </c>
      <c r="F68" s="430">
        <f>E68*D68</f>
        <v>1325552.3999999999</v>
      </c>
    </row>
    <row r="69" spans="1:9" ht="19.5">
      <c r="A69" s="431"/>
      <c r="B69" s="96" t="s">
        <v>2</v>
      </c>
      <c r="C69" s="327"/>
      <c r="D69" s="331"/>
      <c r="E69" s="335"/>
      <c r="F69" s="432"/>
    </row>
    <row r="70" spans="1:9" ht="19.5">
      <c r="A70" s="433"/>
      <c r="B70" s="97" t="s">
        <v>186</v>
      </c>
      <c r="C70" s="23" t="s">
        <v>1</v>
      </c>
      <c r="D70" s="116">
        <f>D68*1.15</f>
        <v>186.29999999999998</v>
      </c>
      <c r="E70" s="322">
        <v>1800</v>
      </c>
      <c r="F70" s="287">
        <f>E70*D70</f>
        <v>335339.99999999994</v>
      </c>
      <c r="H70" s="67">
        <f>D68/20</f>
        <v>8.1</v>
      </c>
    </row>
    <row r="71" spans="1:9" ht="19.5">
      <c r="A71" s="433"/>
      <c r="B71" s="97" t="s">
        <v>86</v>
      </c>
      <c r="C71" s="23" t="s">
        <v>44</v>
      </c>
      <c r="D71" s="116">
        <f>648/3.5</f>
        <v>185.14285714285714</v>
      </c>
      <c r="E71" s="322">
        <v>3500</v>
      </c>
      <c r="F71" s="287">
        <f t="shared" ref="F71:F72" si="5">E71*D71</f>
        <v>648000</v>
      </c>
      <c r="H71" s="46">
        <f>H70*15000</f>
        <v>121500</v>
      </c>
    </row>
    <row r="72" spans="1:9" ht="19.5">
      <c r="A72" s="433"/>
      <c r="B72" s="97" t="s">
        <v>87</v>
      </c>
      <c r="C72" s="23" t="s">
        <v>67</v>
      </c>
      <c r="D72" s="116">
        <f>D68*0.25</f>
        <v>40.5</v>
      </c>
      <c r="E72" s="322">
        <v>2300</v>
      </c>
      <c r="F72" s="287">
        <f t="shared" si="5"/>
        <v>93150</v>
      </c>
      <c r="G72" s="417"/>
      <c r="I72" s="325"/>
    </row>
    <row r="73" spans="1:9" ht="19.5">
      <c r="A73" s="396"/>
      <c r="B73" s="96" t="s">
        <v>127</v>
      </c>
      <c r="C73" s="28"/>
      <c r="D73" s="119"/>
      <c r="E73" s="322"/>
      <c r="F73" s="288">
        <f>SUM(F70:F72)</f>
        <v>1076490</v>
      </c>
    </row>
    <row r="74" spans="1:9" ht="19.5">
      <c r="A74" s="434"/>
      <c r="B74" s="326"/>
      <c r="C74" s="68"/>
      <c r="D74" s="119"/>
      <c r="E74" s="131"/>
      <c r="F74" s="435"/>
    </row>
    <row r="75" spans="1:9" ht="19.5">
      <c r="A75" s="434"/>
      <c r="B75" s="96" t="s">
        <v>6</v>
      </c>
      <c r="C75" s="327"/>
      <c r="D75" s="332"/>
      <c r="E75" s="131"/>
      <c r="F75" s="432"/>
    </row>
    <row r="76" spans="1:9" ht="19.5">
      <c r="A76" s="434"/>
      <c r="B76" s="255" t="s">
        <v>7</v>
      </c>
      <c r="C76" s="256" t="s">
        <v>62</v>
      </c>
      <c r="D76" s="257">
        <f>D77*2</f>
        <v>82.8</v>
      </c>
      <c r="E76" s="131">
        <v>2500</v>
      </c>
      <c r="F76" s="287">
        <f>E76*D76</f>
        <v>207000</v>
      </c>
    </row>
    <row r="77" spans="1:9" ht="19.5">
      <c r="A77" s="431"/>
      <c r="B77" s="255" t="s">
        <v>175</v>
      </c>
      <c r="C77" s="256" t="s">
        <v>62</v>
      </c>
      <c r="D77" s="257">
        <f>D70/4.5</f>
        <v>41.4</v>
      </c>
      <c r="E77" s="131">
        <v>1016</v>
      </c>
      <c r="F77" s="287">
        <f>E77*D77</f>
        <v>42062.400000000001</v>
      </c>
    </row>
    <row r="78" spans="1:9" ht="19.5">
      <c r="A78" s="436"/>
      <c r="B78" s="96" t="s">
        <v>129</v>
      </c>
      <c r="C78" s="328"/>
      <c r="D78" s="332"/>
      <c r="E78" s="336"/>
      <c r="F78" s="437">
        <f>SUM(F76:F77)</f>
        <v>249062.39999999999</v>
      </c>
    </row>
    <row r="79" spans="1:9" ht="22.5">
      <c r="A79" s="438"/>
      <c r="B79" s="498" t="s">
        <v>164</v>
      </c>
      <c r="C79" s="498"/>
      <c r="D79" s="498"/>
      <c r="E79" s="498"/>
      <c r="F79" s="499"/>
    </row>
    <row r="80" spans="1:9" ht="20.45" customHeight="1">
      <c r="A80" s="429">
        <v>2.02</v>
      </c>
      <c r="B80" s="2" t="s">
        <v>176</v>
      </c>
      <c r="C80" s="260" t="s">
        <v>50</v>
      </c>
      <c r="D80" s="330">
        <f>13*8</f>
        <v>104</v>
      </c>
      <c r="E80" s="334">
        <f>(F90+F85)/D80</f>
        <v>7981.8888888888896</v>
      </c>
      <c r="F80" s="430">
        <f>E80*D80</f>
        <v>830116.4444444445</v>
      </c>
    </row>
    <row r="81" spans="1:9" ht="19.5">
      <c r="A81" s="431"/>
      <c r="B81" s="96" t="s">
        <v>2</v>
      </c>
      <c r="C81" s="327"/>
      <c r="D81" s="331"/>
      <c r="E81" s="335"/>
      <c r="F81" s="432"/>
    </row>
    <row r="82" spans="1:9" ht="19.5">
      <c r="A82" s="433"/>
      <c r="B82" s="97" t="s">
        <v>174</v>
      </c>
      <c r="C82" s="23" t="s">
        <v>1</v>
      </c>
      <c r="D82" s="116">
        <f>D80*1.15</f>
        <v>119.6</v>
      </c>
      <c r="E82" s="322">
        <v>1800</v>
      </c>
      <c r="F82" s="287">
        <f>E82*D82</f>
        <v>215280</v>
      </c>
    </row>
    <row r="83" spans="1:9" ht="19.5">
      <c r="A83" s="433"/>
      <c r="B83" s="97" t="s">
        <v>86</v>
      </c>
      <c r="C83" s="23" t="s">
        <v>44</v>
      </c>
      <c r="D83" s="116">
        <f>416/3.5</f>
        <v>118.85714285714286</v>
      </c>
      <c r="E83" s="322">
        <v>3500</v>
      </c>
      <c r="F83" s="287">
        <f t="shared" ref="F83:F84" si="6">E83*D83</f>
        <v>416000</v>
      </c>
      <c r="H83" s="46"/>
    </row>
    <row r="84" spans="1:9" ht="19.5">
      <c r="A84" s="433"/>
      <c r="B84" s="97" t="s">
        <v>87</v>
      </c>
      <c r="C84" s="23" t="s">
        <v>67</v>
      </c>
      <c r="D84" s="116">
        <f>D80*0.25</f>
        <v>26</v>
      </c>
      <c r="E84" s="322">
        <v>2300</v>
      </c>
      <c r="F84" s="287">
        <f t="shared" si="6"/>
        <v>59800</v>
      </c>
      <c r="G84" s="417"/>
      <c r="I84" s="325"/>
    </row>
    <row r="85" spans="1:9" ht="19.5">
      <c r="A85" s="396"/>
      <c r="B85" s="96" t="s">
        <v>127</v>
      </c>
      <c r="C85" s="28"/>
      <c r="D85" s="119"/>
      <c r="E85" s="322"/>
      <c r="F85" s="288">
        <f>SUM(F82:F84)</f>
        <v>691080</v>
      </c>
    </row>
    <row r="86" spans="1:9" ht="19.5">
      <c r="A86" s="434"/>
      <c r="B86" s="326"/>
      <c r="C86" s="68"/>
      <c r="D86" s="119"/>
      <c r="E86" s="131"/>
      <c r="F86" s="435"/>
    </row>
    <row r="87" spans="1:9" ht="19.5">
      <c r="A87" s="434"/>
      <c r="B87" s="96" t="s">
        <v>6</v>
      </c>
      <c r="C87" s="327"/>
      <c r="D87" s="332"/>
      <c r="E87" s="131"/>
      <c r="F87" s="432"/>
    </row>
    <row r="88" spans="1:9" ht="19.5">
      <c r="A88" s="434"/>
      <c r="B88" s="255" t="s">
        <v>7</v>
      </c>
      <c r="C88" s="256" t="s">
        <v>62</v>
      </c>
      <c r="D88" s="257">
        <f>D89*2</f>
        <v>46.222222222222221</v>
      </c>
      <c r="E88" s="131">
        <v>2500</v>
      </c>
      <c r="F88" s="287">
        <f>E88*D88</f>
        <v>115555.55555555555</v>
      </c>
    </row>
    <row r="89" spans="1:9" ht="19.5">
      <c r="A89" s="431"/>
      <c r="B89" s="255" t="s">
        <v>128</v>
      </c>
      <c r="C89" s="256" t="s">
        <v>62</v>
      </c>
      <c r="D89" s="257">
        <f>D80/4.5</f>
        <v>23.111111111111111</v>
      </c>
      <c r="E89" s="131">
        <v>1016</v>
      </c>
      <c r="F89" s="287">
        <f>E89*D89</f>
        <v>23480.888888888887</v>
      </c>
    </row>
    <row r="90" spans="1:9" ht="19.5">
      <c r="A90" s="436"/>
      <c r="B90" s="96" t="s">
        <v>129</v>
      </c>
      <c r="C90" s="328"/>
      <c r="D90" s="332"/>
      <c r="E90" s="336"/>
      <c r="F90" s="437">
        <f>SUM(F88:F89)</f>
        <v>139036.44444444444</v>
      </c>
    </row>
    <row r="91" spans="1:9" ht="16.7" customHeight="1">
      <c r="A91" s="439"/>
      <c r="B91" s="440"/>
      <c r="C91" s="441"/>
      <c r="D91" s="442"/>
      <c r="E91" s="443"/>
      <c r="F91" s="444"/>
      <c r="H91" s="82"/>
    </row>
    <row r="92" spans="1:9" s="82" customFormat="1" ht="21" customHeight="1">
      <c r="A92" s="409">
        <v>3</v>
      </c>
      <c r="B92" s="493" t="s">
        <v>217</v>
      </c>
      <c r="C92" s="494"/>
      <c r="D92" s="494"/>
      <c r="E92" s="495"/>
      <c r="F92" s="410"/>
      <c r="H92" s="261"/>
    </row>
    <row r="93" spans="1:9" s="261" customFormat="1" ht="39">
      <c r="A93" s="411">
        <v>3.01</v>
      </c>
      <c r="B93" s="392" t="s">
        <v>200</v>
      </c>
      <c r="C93" s="399" t="s">
        <v>201</v>
      </c>
      <c r="D93" s="404">
        <f>250*0.05</f>
        <v>12.5</v>
      </c>
      <c r="E93" s="405">
        <f>(F97+F106)/D93</f>
        <v>26924.177966101695</v>
      </c>
      <c r="F93" s="412">
        <f>E93*D93</f>
        <v>336552.2245762712</v>
      </c>
      <c r="H93"/>
    </row>
    <row r="94" spans="1:9" ht="19.5">
      <c r="A94" s="413"/>
      <c r="B94" s="388" t="s">
        <v>2</v>
      </c>
      <c r="C94" s="391"/>
      <c r="D94" s="401"/>
      <c r="E94" s="406"/>
      <c r="F94" s="414"/>
    </row>
    <row r="95" spans="1:9" ht="19.5">
      <c r="A95" s="413"/>
      <c r="B95" s="389" t="s">
        <v>202</v>
      </c>
      <c r="C95" s="391" t="s">
        <v>16</v>
      </c>
      <c r="D95" s="401">
        <f>D100*20+D101*60+D102*15+D103*20+D104*60+D105*80</f>
        <v>10.458333333333334</v>
      </c>
      <c r="E95" s="406">
        <f>1609/1.18</f>
        <v>1363.5593220338983</v>
      </c>
      <c r="F95" s="415">
        <f>E95*D95</f>
        <v>14260.55790960452</v>
      </c>
    </row>
    <row r="96" spans="1:9" ht="19.5">
      <c r="A96" s="413"/>
      <c r="B96" s="389" t="s">
        <v>203</v>
      </c>
      <c r="C96" s="391" t="s">
        <v>10</v>
      </c>
      <c r="D96" s="401">
        <f>D93*1.3</f>
        <v>16.25</v>
      </c>
      <c r="E96" s="406">
        <v>18000</v>
      </c>
      <c r="F96" s="415">
        <f>E96*D96</f>
        <v>292500</v>
      </c>
    </row>
    <row r="97" spans="1:8" ht="19.5">
      <c r="A97" s="416"/>
      <c r="B97" s="388" t="s">
        <v>127</v>
      </c>
      <c r="C97" s="390"/>
      <c r="D97" s="402"/>
      <c r="E97" s="407"/>
      <c r="F97" s="414">
        <f>SUM(F95:F96)</f>
        <v>306760.55790960451</v>
      </c>
    </row>
    <row r="98" spans="1:8" ht="19.5">
      <c r="A98" s="416"/>
      <c r="B98" s="388"/>
      <c r="C98" s="390"/>
      <c r="D98" s="402"/>
      <c r="E98" s="407"/>
      <c r="F98" s="414"/>
    </row>
    <row r="99" spans="1:8" ht="19.5">
      <c r="A99" s="413"/>
      <c r="B99" s="388" t="s">
        <v>204</v>
      </c>
      <c r="C99" s="391"/>
      <c r="D99" s="401"/>
      <c r="E99" s="406"/>
      <c r="F99" s="415"/>
    </row>
    <row r="100" spans="1:8" ht="19.5">
      <c r="A100" s="413"/>
      <c r="B100" s="389" t="s">
        <v>205</v>
      </c>
      <c r="C100" s="391" t="s">
        <v>206</v>
      </c>
      <c r="D100" s="401">
        <f>(D93/600)*8</f>
        <v>0.16666666666666666</v>
      </c>
      <c r="E100" s="406">
        <v>60000</v>
      </c>
      <c r="F100" s="415">
        <f>E100*D100</f>
        <v>10000</v>
      </c>
    </row>
    <row r="101" spans="1:8" ht="19.5">
      <c r="A101" s="413"/>
      <c r="B101" s="389" t="s">
        <v>207</v>
      </c>
      <c r="C101" s="391" t="s">
        <v>21</v>
      </c>
      <c r="D101" s="401">
        <f>(D93/(15*6)/25)*10</f>
        <v>5.5555555555555559E-2</v>
      </c>
      <c r="E101" s="406">
        <v>153000</v>
      </c>
      <c r="F101" s="415">
        <f t="shared" ref="F101:F105" si="7">E101*D101</f>
        <v>8500</v>
      </c>
    </row>
    <row r="102" spans="1:8" ht="19.5">
      <c r="A102" s="413"/>
      <c r="B102" s="389" t="s">
        <v>208</v>
      </c>
      <c r="C102" s="391" t="s">
        <v>206</v>
      </c>
      <c r="D102" s="401">
        <f>(D93/1500)*8</f>
        <v>6.6666666666666666E-2</v>
      </c>
      <c r="E102" s="406">
        <v>50000</v>
      </c>
      <c r="F102" s="415">
        <f t="shared" si="7"/>
        <v>3333.3333333333335</v>
      </c>
    </row>
    <row r="103" spans="1:8" ht="19.5">
      <c r="A103" s="413"/>
      <c r="B103" s="389" t="s">
        <v>209</v>
      </c>
      <c r="C103" s="391" t="s">
        <v>206</v>
      </c>
      <c r="D103" s="401">
        <f>D102</f>
        <v>6.6666666666666666E-2</v>
      </c>
      <c r="E103" s="406">
        <v>60000</v>
      </c>
      <c r="F103" s="415">
        <f t="shared" si="7"/>
        <v>4000</v>
      </c>
    </row>
    <row r="104" spans="1:8" ht="19.5">
      <c r="A104" s="413"/>
      <c r="B104" s="389" t="s">
        <v>210</v>
      </c>
      <c r="C104" s="391" t="s">
        <v>21</v>
      </c>
      <c r="D104" s="401">
        <f>D93/(6000*0.2)</f>
        <v>1.0416666666666666E-2</v>
      </c>
      <c r="E104" s="406">
        <v>200000</v>
      </c>
      <c r="F104" s="415">
        <f t="shared" si="7"/>
        <v>2083.333333333333</v>
      </c>
    </row>
    <row r="105" spans="1:8" ht="19.5">
      <c r="A105" s="413"/>
      <c r="B105" s="389" t="s">
        <v>211</v>
      </c>
      <c r="C105" s="391" t="s">
        <v>21</v>
      </c>
      <c r="D105" s="401">
        <f>D104</f>
        <v>1.0416666666666666E-2</v>
      </c>
      <c r="E105" s="406">
        <v>180000</v>
      </c>
      <c r="F105" s="415">
        <f t="shared" si="7"/>
        <v>1875</v>
      </c>
    </row>
    <row r="106" spans="1:8" ht="19.5">
      <c r="A106" s="416"/>
      <c r="B106" s="388" t="s">
        <v>212</v>
      </c>
      <c r="C106" s="390"/>
      <c r="D106" s="402"/>
      <c r="E106" s="407"/>
      <c r="F106" s="414">
        <f>SUM(F100:F105)</f>
        <v>29791.666666666664</v>
      </c>
      <c r="H106" s="393"/>
    </row>
    <row r="107" spans="1:8" s="393" customFormat="1" ht="19.5">
      <c r="A107" s="397">
        <v>3.02</v>
      </c>
      <c r="B107" s="392" t="s">
        <v>216</v>
      </c>
      <c r="C107" s="399" t="s">
        <v>213</v>
      </c>
      <c r="D107" s="400">
        <f>250</f>
        <v>250</v>
      </c>
      <c r="E107" s="405">
        <f>(F120+F115+F111)/D107</f>
        <v>18699.367039548022</v>
      </c>
      <c r="F107" s="412">
        <f>E107*D107</f>
        <v>4674841.7598870052</v>
      </c>
      <c r="H107"/>
    </row>
    <row r="108" spans="1:8" ht="16.5">
      <c r="A108" s="439"/>
      <c r="B108" s="388" t="s">
        <v>2</v>
      </c>
      <c r="C108" s="391"/>
      <c r="D108" s="401"/>
      <c r="E108" s="406"/>
      <c r="F108" s="414"/>
    </row>
    <row r="109" spans="1:8">
      <c r="A109" s="439"/>
      <c r="B109" s="389" t="s">
        <v>202</v>
      </c>
      <c r="C109" s="391" t="s">
        <v>16</v>
      </c>
      <c r="D109" s="401">
        <f>D114*145</f>
        <v>132.91666666666666</v>
      </c>
      <c r="E109" s="406">
        <f>1609/1.18</f>
        <v>1363.5593220338983</v>
      </c>
      <c r="F109" s="415">
        <f>E109*D109</f>
        <v>181239.75988700564</v>
      </c>
    </row>
    <row r="110" spans="1:8">
      <c r="A110" s="439"/>
      <c r="B110" s="389" t="s">
        <v>214</v>
      </c>
      <c r="C110" s="391" t="s">
        <v>85</v>
      </c>
      <c r="D110" s="401">
        <f>D107*55</f>
        <v>13750</v>
      </c>
      <c r="E110" s="406">
        <f>360/1.2</f>
        <v>300</v>
      </c>
      <c r="F110" s="415">
        <f>E110*D110</f>
        <v>4125000</v>
      </c>
    </row>
    <row r="111" spans="1:8" ht="16.5">
      <c r="A111" s="439"/>
      <c r="B111" s="388" t="s">
        <v>127</v>
      </c>
      <c r="C111" s="390"/>
      <c r="D111" s="402"/>
      <c r="E111" s="407"/>
      <c r="F111" s="414">
        <f>SUM(F109:F110)</f>
        <v>4306239.7598870052</v>
      </c>
    </row>
    <row r="112" spans="1:8" ht="16.5">
      <c r="A112" s="439"/>
      <c r="B112" s="389"/>
      <c r="C112" s="391"/>
      <c r="D112" s="401"/>
      <c r="E112" s="406"/>
      <c r="F112" s="414"/>
    </row>
    <row r="113" spans="1:7" ht="16.5">
      <c r="A113" s="439"/>
      <c r="B113" s="388" t="s">
        <v>204</v>
      </c>
      <c r="C113" s="391"/>
      <c r="D113" s="401"/>
      <c r="E113" s="406"/>
      <c r="F113" s="414"/>
    </row>
    <row r="114" spans="1:7">
      <c r="A114" s="439"/>
      <c r="B114" s="389" t="s">
        <v>215</v>
      </c>
      <c r="C114" s="391" t="s">
        <v>21</v>
      </c>
      <c r="D114" s="401">
        <f>D110/15000</f>
        <v>0.91666666666666663</v>
      </c>
      <c r="E114" s="406">
        <v>153000</v>
      </c>
      <c r="F114" s="415">
        <f>E114*D114</f>
        <v>140250</v>
      </c>
    </row>
    <row r="115" spans="1:7" ht="16.5">
      <c r="A115" s="439"/>
      <c r="B115" s="388" t="s">
        <v>212</v>
      </c>
      <c r="C115" s="390"/>
      <c r="D115" s="402"/>
      <c r="E115" s="407"/>
      <c r="F115" s="414">
        <f>SUM(F114)</f>
        <v>140250</v>
      </c>
    </row>
    <row r="116" spans="1:7" ht="16.5">
      <c r="A116" s="439"/>
      <c r="B116" s="389"/>
      <c r="C116" s="391"/>
      <c r="D116" s="401"/>
      <c r="E116" s="406"/>
      <c r="F116" s="414"/>
    </row>
    <row r="117" spans="1:7" ht="16.5">
      <c r="A117" s="439"/>
      <c r="B117" s="388" t="s">
        <v>6</v>
      </c>
      <c r="C117" s="391"/>
      <c r="D117" s="401"/>
      <c r="E117" s="406"/>
      <c r="F117" s="414"/>
    </row>
    <row r="118" spans="1:7">
      <c r="A118" s="439"/>
      <c r="B118" s="389" t="s">
        <v>24</v>
      </c>
      <c r="C118" s="391" t="s">
        <v>21</v>
      </c>
      <c r="D118" s="401">
        <f>D107/10</f>
        <v>25</v>
      </c>
      <c r="E118" s="445">
        <v>6088.08</v>
      </c>
      <c r="F118" s="415">
        <f>E118*D118</f>
        <v>152202</v>
      </c>
    </row>
    <row r="119" spans="1:7">
      <c r="A119" s="439"/>
      <c r="B119" s="389" t="s">
        <v>25</v>
      </c>
      <c r="C119" s="391" t="s">
        <v>21</v>
      </c>
      <c r="D119" s="401">
        <f>D118</f>
        <v>25</v>
      </c>
      <c r="E119" s="408">
        <v>3046</v>
      </c>
      <c r="F119" s="415">
        <f>E119*D119</f>
        <v>76150</v>
      </c>
    </row>
    <row r="120" spans="1:7" ht="16.5">
      <c r="A120" s="446"/>
      <c r="B120" s="447" t="s">
        <v>78</v>
      </c>
      <c r="C120" s="448"/>
      <c r="D120" s="449"/>
      <c r="E120" s="450"/>
      <c r="F120" s="451">
        <f>SUM(F118:F119)</f>
        <v>228352</v>
      </c>
    </row>
    <row r="121" spans="1:7" ht="37.5">
      <c r="B121" s="385"/>
      <c r="C121" s="386"/>
      <c r="D121" s="403"/>
      <c r="E121" s="387"/>
      <c r="F121" s="339">
        <f>F107+F93+F80+F68+F45+F35+F14+F4</f>
        <v>15686464.081685498</v>
      </c>
    </row>
    <row r="122" spans="1:7">
      <c r="B122" s="385"/>
      <c r="C122" s="386"/>
      <c r="D122" s="403"/>
      <c r="E122" s="387"/>
      <c r="F122" s="387"/>
      <c r="G122" s="88"/>
    </row>
    <row r="123" spans="1:7">
      <c r="B123" s="385"/>
      <c r="C123" s="386"/>
      <c r="D123" s="403"/>
      <c r="E123" s="387"/>
      <c r="F123" s="387"/>
      <c r="G123" s="88"/>
    </row>
    <row r="124" spans="1:7">
      <c r="B124" s="385"/>
      <c r="C124" s="386"/>
      <c r="D124" s="403"/>
      <c r="E124" s="387"/>
      <c r="F124" s="387"/>
      <c r="G124" s="88"/>
    </row>
    <row r="125" spans="1:7">
      <c r="B125" s="385"/>
      <c r="C125" s="386"/>
      <c r="D125" s="403"/>
      <c r="E125" s="387"/>
      <c r="F125" s="387"/>
      <c r="G125" s="88"/>
    </row>
    <row r="126" spans="1:7">
      <c r="B126" s="385"/>
      <c r="C126" s="386"/>
      <c r="D126" s="403"/>
      <c r="E126" s="387"/>
      <c r="F126" s="387"/>
      <c r="G126" s="88"/>
    </row>
  </sheetData>
  <mergeCells count="7">
    <mergeCell ref="B2:E2"/>
    <mergeCell ref="B66:E66"/>
    <mergeCell ref="B92:E92"/>
    <mergeCell ref="B3:F3"/>
    <mergeCell ref="B34:F34"/>
    <mergeCell ref="B67:F67"/>
    <mergeCell ref="B79:F79"/>
  </mergeCells>
  <pageMargins left="0.7" right="0.7" top="0.75" bottom="0.75" header="0.3" footer="0.3"/>
  <ignoredErrors>
    <ignoredError sqref="D104 F13 F44 F10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7"/>
  <sheetViews>
    <sheetView topLeftCell="A19" workbookViewId="0">
      <selection activeCell="E38" sqref="E38"/>
    </sheetView>
  </sheetViews>
  <sheetFormatPr defaultColWidth="8.85546875" defaultRowHeight="15"/>
  <cols>
    <col min="1" max="1" width="4.85546875" customWidth="1"/>
    <col min="2" max="2" width="23.42578125" customWidth="1"/>
    <col min="4" max="4" width="12.42578125" style="324" customWidth="1"/>
    <col min="5" max="5" width="20" customWidth="1"/>
    <col min="6" max="6" width="20.140625" style="324" customWidth="1"/>
  </cols>
  <sheetData>
    <row r="1" spans="1:6" s="365" customFormat="1" ht="33">
      <c r="B1" s="500" t="s">
        <v>189</v>
      </c>
      <c r="C1" s="500"/>
      <c r="D1" s="500"/>
      <c r="E1" s="500"/>
      <c r="F1" s="500"/>
    </row>
    <row r="2" spans="1:6" s="146" customFormat="1" ht="22.5">
      <c r="B2" s="382" t="s">
        <v>197</v>
      </c>
      <c r="C2" s="382" t="s">
        <v>121</v>
      </c>
      <c r="D2" s="382" t="s">
        <v>122</v>
      </c>
      <c r="E2" s="382" t="s">
        <v>198</v>
      </c>
      <c r="F2" s="382" t="s">
        <v>199</v>
      </c>
    </row>
    <row r="3" spans="1:6" ht="21" customHeight="1">
      <c r="A3" s="351">
        <v>1</v>
      </c>
      <c r="B3" s="352" t="s">
        <v>185</v>
      </c>
      <c r="C3" s="353" t="s">
        <v>10</v>
      </c>
      <c r="D3" s="379">
        <f>'ECD Classes'!D45+'ECD Classes'!D63+'ECD Classes'!D222+'Office space'!D222+'Office space'!D198+'ECD Classes'!D198+'Office space'!D45+'Office space'!D63+'Sleeping Area'!D45+'Sleeping Area'!D63+'Sleeping Area'!D198+'Sleeping Area'!D222+'Dining Area'!D45+'Dining Area'!D63+'Dining Area'!D198+'Dining Area'!D222+'Toilet &amp; Bathroom'!D45+'Toilet &amp; Bathroom'!D63+'Toilet &amp; Bathroom'!D198+'Toilet &amp; Bathroom'!D222+'Stock &amp; Kitchen'!D45+'Stock &amp; Kitchen'!D63+'Stock &amp; Kitchen'!D199+'Stock &amp; Kitchen'!D223</f>
        <v>22.898311978021983</v>
      </c>
      <c r="E3" s="354">
        <v>32300</v>
      </c>
      <c r="F3" s="351">
        <f>E3*D3</f>
        <v>739615.47689011006</v>
      </c>
    </row>
    <row r="4" spans="1:6" ht="21" customHeight="1">
      <c r="A4" s="351">
        <v>2</v>
      </c>
      <c r="B4" s="352" t="s">
        <v>184</v>
      </c>
      <c r="C4" s="353" t="s">
        <v>12</v>
      </c>
      <c r="D4" s="379">
        <f>'ECD Classes'!D43+'ECD Classes'!D61+'ECD Classes'!D185+'ECD Classes'!D200+'ECD Classes'!D220+'ECD Classes'!D237+'ECD Classes'!D163+'ECD Classes'!D249+'ECD Classes'!D277+'Office space'!D277+'Office space'!D249+'Office space'!D237+'Office space'!D220+'Office space'!D200+'Office space'!D185+'Office space'!D163+'Office space'!D61+'Office space'!D43+'Sleeping Area'!D277+'Sleeping Area'!D249+'Sleeping Area'!D237+'Sleeping Area'!D220+'Sleeping Area'!D200+'Sleeping Area'!D185+'Sleeping Area'!D163+'Sleeping Area'!D61+'Sleeping Area'!D43+'Dining Area'!D277+'Dining Area'!D249+'Dining Area'!D237+'Dining Area'!D220+'Dining Area'!D200+'Dining Area'!D185+'Dining Area'!D163+'Dining Area'!D61+'Dining Area'!D43+'Toilet &amp; Bathroom'!D278+'Toilet &amp; Bathroom'!D249+'Toilet &amp; Bathroom'!D237+'Toilet &amp; Bathroom'!D220+'Toilet &amp; Bathroom'!D200+'Toilet &amp; Bathroom'!D185+'Toilet &amp; Bathroom'!D163+'Toilet &amp; Bathroom'!D61+'Toilet &amp; Bathroom'!D43+'Stock &amp; Kitchen'!D279+'Stock &amp; Kitchen'!D250+'Stock &amp; Kitchen'!D238+'Stock &amp; Kitchen'!D221+'Stock &amp; Kitchen'!D201+'Stock &amp; Kitchen'!D186+'Stock &amp; Kitchen'!D163+'Stock &amp; Kitchen'!D61+'Stock &amp; Kitchen'!D43</f>
        <v>555.47284330578009</v>
      </c>
      <c r="E4" s="355">
        <v>11200</v>
      </c>
      <c r="F4" s="351">
        <f t="shared" ref="F4:F37" si="0">E4*D4</f>
        <v>6221295.8450247366</v>
      </c>
    </row>
    <row r="5" spans="1:6" ht="15.75">
      <c r="A5" s="351">
        <v>3</v>
      </c>
      <c r="B5" s="255" t="s">
        <v>144</v>
      </c>
      <c r="C5" s="256" t="s">
        <v>1</v>
      </c>
      <c r="D5" s="333">
        <f>'Roofing&amp; Ceiling&amp;Paver'!D37+'Roofing&amp; Ceiling&amp;Paver'!D6</f>
        <v>294.14225000000005</v>
      </c>
      <c r="E5" s="322">
        <v>6100</v>
      </c>
      <c r="F5" s="351">
        <f t="shared" si="0"/>
        <v>1794267.7250000003</v>
      </c>
    </row>
    <row r="6" spans="1:6" ht="21" customHeight="1">
      <c r="A6" s="351">
        <v>4</v>
      </c>
      <c r="B6" s="352" t="s">
        <v>13</v>
      </c>
      <c r="C6" s="353" t="s">
        <v>10</v>
      </c>
      <c r="D6" s="379">
        <f>'ECD Classes'!D44+'ECD Classes'!D62+'ECD Classes'!D164+'ECD Classes'!D186+'ECD Classes'!D199+'ECD Classes'!D221+'ECD Classes'!D250+'ECD Classes'!D278+'Office space'!D44+'Office space'!D62+'Office space'!D164+'Office space'!D186+'Office space'!D199+'Office space'!D221+'Office space'!D250+'Office space'!D278+'Sleeping Area'!D44+'Sleeping Area'!D62+'Sleeping Area'!D164+'Sleeping Area'!D186+'Sleeping Area'!D199+'Sleeping Area'!D221+'Sleeping Area'!D238+'Sleeping Area'!D250+'Sleeping Area'!D278+'Dining Area'!D44+'Dining Area'!D62+'Dining Area'!D164+'Dining Area'!D186+'Dining Area'!D199+'Dining Area'!D221+'Dining Area'!D250+'Dining Area'!D278+'Toilet &amp; Bathroom'!D44+'Toilet &amp; Bathroom'!D62+'Toilet &amp; Bathroom'!D164+'Toilet &amp; Bathroom'!D186+'Toilet &amp; Bathroom'!D199+'Toilet &amp; Bathroom'!D221+'Toilet &amp; Bathroom'!D250+'Toilet &amp; Bathroom'!D279+'Stock &amp; Kitchen'!D44+'Stock &amp; Kitchen'!D62+'Stock &amp; Kitchen'!D164+'Stock &amp; Kitchen'!D187+'Stock &amp; Kitchen'!D200+'Stock &amp; Kitchen'!D222+'Stock &amp; Kitchen'!D251+'Stock &amp; Kitchen'!D280</f>
        <v>86.274546170389186</v>
      </c>
      <c r="E6" s="354">
        <v>30500</v>
      </c>
      <c r="F6" s="351">
        <f t="shared" si="0"/>
        <v>2631373.6581968702</v>
      </c>
    </row>
    <row r="7" spans="1:6" ht="21" customHeight="1">
      <c r="A7" s="351">
        <v>5</v>
      </c>
      <c r="B7" s="352" t="s">
        <v>190</v>
      </c>
      <c r="C7" s="353" t="s">
        <v>10</v>
      </c>
      <c r="D7" s="379">
        <v>20</v>
      </c>
      <c r="E7" s="354">
        <v>34500</v>
      </c>
      <c r="F7" s="351">
        <f t="shared" si="0"/>
        <v>690000</v>
      </c>
    </row>
    <row r="8" spans="1:6" ht="21" customHeight="1">
      <c r="A8" s="351">
        <v>6</v>
      </c>
      <c r="B8" s="352" t="s">
        <v>84</v>
      </c>
      <c r="C8" s="353" t="s">
        <v>85</v>
      </c>
      <c r="D8" s="379">
        <f>'ECD Classes'!D80+'ECD Classes'!D91+'ECD Classes'!D102+'Office space'!D80+'Office space'!D91+'Office space'!D102+'Sleeping Area'!D80+'Sleeping Area'!D91+'Sleeping Area'!D102+'Dining Area'!D80+'Dining Area'!D91+'Dining Area'!D102+'Toilet &amp; Bathroom'!D80+'Toilet &amp; Bathroom'!D91+'Toilet &amp; Bathroom'!D102+'Stock &amp; Kitchen'!D80+'Stock &amp; Kitchen'!D91+'Stock &amp; Kitchen'!D102</f>
        <v>31.552083333333332</v>
      </c>
      <c r="E8" s="264">
        <v>4500</v>
      </c>
      <c r="F8" s="351">
        <f t="shared" si="0"/>
        <v>141984.375</v>
      </c>
    </row>
    <row r="9" spans="1:6" ht="21" customHeight="1">
      <c r="A9" s="351">
        <v>7</v>
      </c>
      <c r="B9" s="352" t="s">
        <v>86</v>
      </c>
      <c r="C9" s="353" t="s">
        <v>85</v>
      </c>
      <c r="D9" s="379">
        <f>'ECD Classes'!D81+'ECD Classes'!D92+'ECD Classes'!D103+'Office space'!D103+'Office space'!D92+'Office space'!D81+'Sleeping Area'!D103+'Sleeping Area'!D92+'Sleeping Area'!D81+'Dining Area'!D92+'Dining Area'!D81+'Dining Area'!D103+'Toilet &amp; Bathroom'!D81+'Toilet &amp; Bathroom'!D92+'Toilet &amp; Bathroom'!D103+'Stock &amp; Kitchen'!D81+'Stock &amp; Kitchen'!D92+'Stock &amp; Kitchen'!D103+'Roofing&amp; Ceiling&amp;Paver'!D83+'Roofing&amp; Ceiling&amp;Paver'!D71</f>
        <v>576.6099999999999</v>
      </c>
      <c r="E9" s="354">
        <v>5000</v>
      </c>
      <c r="F9" s="351">
        <f t="shared" si="0"/>
        <v>2883049.9999999995</v>
      </c>
    </row>
    <row r="10" spans="1:6" ht="21" customHeight="1">
      <c r="A10" s="351">
        <v>8</v>
      </c>
      <c r="B10" s="352" t="s">
        <v>87</v>
      </c>
      <c r="C10" s="353" t="s">
        <v>88</v>
      </c>
      <c r="D10" s="379">
        <f>'Roofing&amp; Ceiling&amp;Paver'!D72+'Roofing&amp; Ceiling&amp;Paver'!D84+'Stock &amp; Kitchen'!D93+'Stock &amp; Kitchen'!D104+'Stock &amp; Kitchen'!D82+'Toilet &amp; Bathroom'!D103+'Toilet &amp; Bathroom'!D93+'Toilet &amp; Bathroom'!D82+'Dining Area'!D104+'Dining Area'!D93+'Dining Area'!D82+'Sleeping Area'!D82+'Sleeping Area'!D93+'Sleeping Area'!D104+'Office space'!D93+'Office space'!D82+'Office space'!D104+'ECD Classes'!D104+'ECD Classes'!D93+'ECD Classes'!D82</f>
        <v>121.235</v>
      </c>
      <c r="E10" s="354">
        <v>2200</v>
      </c>
      <c r="F10" s="351">
        <f t="shared" si="0"/>
        <v>266717</v>
      </c>
    </row>
    <row r="11" spans="1:6" ht="21" customHeight="1">
      <c r="A11" s="351">
        <v>9</v>
      </c>
      <c r="B11" s="21" t="s">
        <v>106</v>
      </c>
      <c r="C11" s="23" t="s">
        <v>88</v>
      </c>
      <c r="D11" s="144">
        <f>'Stock &amp; Kitchen'!D115+'Toilet &amp; Bathroom'!D114+'Dining Area'!D114+'Sleeping Area'!D114+'Office space'!D114+'ECD Classes'!D114</f>
        <v>1008.06655</v>
      </c>
      <c r="E11" s="264">
        <v>5050</v>
      </c>
      <c r="F11" s="351">
        <f t="shared" si="0"/>
        <v>5090736.0774999997</v>
      </c>
    </row>
    <row r="12" spans="1:6" ht="21" customHeight="1">
      <c r="A12" s="351">
        <v>10</v>
      </c>
      <c r="B12" s="352" t="s">
        <v>107</v>
      </c>
      <c r="C12" s="353" t="s">
        <v>88</v>
      </c>
      <c r="D12" s="379">
        <f>'Stock &amp; Kitchen'!D115+'Toilet &amp; Bathroom'!D115+'Dining Area'!D115+'Sleeping Area'!D115+'Office space'!D115+'ECD Classes'!D115</f>
        <v>27.3247</v>
      </c>
      <c r="E12" s="354">
        <v>3500</v>
      </c>
      <c r="F12" s="351">
        <f t="shared" si="0"/>
        <v>95636.45</v>
      </c>
    </row>
    <row r="13" spans="1:6" ht="21" customHeight="1">
      <c r="A13" s="351">
        <v>11</v>
      </c>
      <c r="B13" s="352" t="s">
        <v>152</v>
      </c>
      <c r="C13" s="353" t="s">
        <v>151</v>
      </c>
      <c r="D13" s="379">
        <f>'Roofing&amp; Ceiling&amp;Paver'!D48+'Roofing&amp; Ceiling&amp;Paver'!D17</f>
        <v>35.033333333333331</v>
      </c>
      <c r="E13" s="354">
        <v>4500</v>
      </c>
      <c r="F13" s="351">
        <f t="shared" si="0"/>
        <v>157650</v>
      </c>
    </row>
    <row r="14" spans="1:6" ht="21" customHeight="1">
      <c r="A14" s="351">
        <v>12</v>
      </c>
      <c r="B14" s="352" t="s">
        <v>153</v>
      </c>
      <c r="C14" s="353" t="s">
        <v>154</v>
      </c>
      <c r="D14" s="379">
        <f>'Roofing&amp; Ceiling&amp;Paver'!D49+'Roofing&amp; Ceiling&amp;Paver'!D18</f>
        <v>7.0066666666666659</v>
      </c>
      <c r="E14" s="354">
        <v>7500</v>
      </c>
      <c r="F14" s="351">
        <f t="shared" si="0"/>
        <v>52549.999999999993</v>
      </c>
    </row>
    <row r="15" spans="1:6" ht="21" customHeight="1">
      <c r="A15" s="351">
        <v>13</v>
      </c>
      <c r="B15" s="352" t="s">
        <v>155</v>
      </c>
      <c r="C15" s="353" t="s">
        <v>4</v>
      </c>
      <c r="D15" s="379">
        <f>'Roofing&amp; Ceiling&amp;Paver'!D50+'Roofing&amp; Ceiling&amp;Paver'!D19</f>
        <v>35.033333333333331</v>
      </c>
      <c r="E15" s="354">
        <v>3500</v>
      </c>
      <c r="F15" s="351">
        <f t="shared" si="0"/>
        <v>122616.66666666666</v>
      </c>
    </row>
    <row r="16" spans="1:6" ht="21" customHeight="1">
      <c r="A16" s="351">
        <v>14</v>
      </c>
      <c r="B16" s="352" t="s">
        <v>156</v>
      </c>
      <c r="C16" s="353" t="s">
        <v>4</v>
      </c>
      <c r="D16" s="379">
        <f>'Roofing&amp; Ceiling&amp;Paver'!D20+'Roofing&amp; Ceiling&amp;Paver'!D51</f>
        <v>35.033333333333331</v>
      </c>
      <c r="E16" s="354">
        <v>1800</v>
      </c>
      <c r="F16" s="351">
        <f t="shared" si="0"/>
        <v>63060</v>
      </c>
    </row>
    <row r="17" spans="1:6" ht="21" customHeight="1">
      <c r="A17" s="351">
        <v>15</v>
      </c>
      <c r="B17" s="352" t="s">
        <v>157</v>
      </c>
      <c r="C17" s="353" t="s">
        <v>4</v>
      </c>
      <c r="D17" s="379">
        <f>'Roofing&amp; Ceiling&amp;Paver'!D52+'Roofing&amp; Ceiling&amp;Paver'!D21</f>
        <v>87.583333333333329</v>
      </c>
      <c r="E17" s="354">
        <v>2000</v>
      </c>
      <c r="F17" s="351">
        <f t="shared" si="0"/>
        <v>175166.66666666666</v>
      </c>
    </row>
    <row r="18" spans="1:6" ht="21" customHeight="1">
      <c r="A18" s="351">
        <v>16</v>
      </c>
      <c r="B18" s="352" t="s">
        <v>158</v>
      </c>
      <c r="C18" s="353" t="s">
        <v>44</v>
      </c>
      <c r="D18" s="379">
        <f>'Roofing&amp; Ceiling&amp;Paver'!D22+'Roofing&amp; Ceiling&amp;Paver'!D53</f>
        <v>5.8388888888888886</v>
      </c>
      <c r="E18" s="354">
        <v>12500</v>
      </c>
      <c r="F18" s="351">
        <f t="shared" si="0"/>
        <v>72986.111111111109</v>
      </c>
    </row>
    <row r="19" spans="1:6" ht="21" customHeight="1">
      <c r="A19" s="351">
        <v>17</v>
      </c>
      <c r="B19" s="352" t="s">
        <v>180</v>
      </c>
      <c r="C19" s="353" t="s">
        <v>44</v>
      </c>
      <c r="D19" s="379">
        <f>'ECD Classes'!D187+'Office space'!D187+'Sleeping Area'!D187+'Dining Area'!D187+'Toilet &amp; Bathroom'!D187+'Stock &amp; Kitchen'!D188</f>
        <v>51637.156816390867</v>
      </c>
      <c r="E19" s="352">
        <v>58</v>
      </c>
      <c r="F19" s="351">
        <f t="shared" si="0"/>
        <v>2994955.0953506702</v>
      </c>
    </row>
    <row r="20" spans="1:6" ht="21" customHeight="1">
      <c r="A20" s="351">
        <v>18</v>
      </c>
      <c r="B20" s="356" t="s">
        <v>181</v>
      </c>
      <c r="C20" s="357" t="s">
        <v>182</v>
      </c>
      <c r="D20" s="379">
        <f>'Stock &amp; Kitchen'!D265+'Toilet &amp; Bathroom'!D264+'Dining Area'!D263+'Sleeping Area'!D263+'Office space'!D263+'ECD Classes'!D263+'Stock &amp; Kitchen'!D297+'Toilet &amp; Bathroom'!D296+'Dining Area'!D295+'Sleeping Area'!D295+'Office space'!D295+'ECD Classes'!D295</f>
        <v>11.930400000000001</v>
      </c>
      <c r="E20" s="358">
        <v>3500</v>
      </c>
      <c r="F20" s="351">
        <f t="shared" si="0"/>
        <v>41756.400000000001</v>
      </c>
    </row>
    <row r="21" spans="1:6" ht="21" customHeight="1">
      <c r="A21" s="351">
        <v>19</v>
      </c>
      <c r="B21" s="356" t="s">
        <v>183</v>
      </c>
      <c r="C21" s="357" t="s">
        <v>182</v>
      </c>
      <c r="D21" s="379">
        <f>D20</f>
        <v>11.930400000000001</v>
      </c>
      <c r="E21" s="358">
        <v>3500</v>
      </c>
      <c r="F21" s="351">
        <f t="shared" si="0"/>
        <v>41756.400000000001</v>
      </c>
    </row>
    <row r="22" spans="1:6" ht="21" customHeight="1">
      <c r="A22" s="351">
        <v>20</v>
      </c>
      <c r="B22" s="102" t="str">
        <f>'[1]Emulsion Paint'!$B$22</f>
        <v>Emulsion paint ( 3 coats)</v>
      </c>
      <c r="C22" s="18" t="s">
        <v>57</v>
      </c>
      <c r="D22" s="5">
        <f>'Stock &amp; Kitchen'!D292+'Toilet &amp; Bathroom'!D291+'Dining Area'!D290+'Sleeping Area'!D290+'Office space'!D290+'ECD Classes'!D290</f>
        <v>170.17560000000003</v>
      </c>
      <c r="E22" s="20">
        <v>2831</v>
      </c>
      <c r="F22" s="351">
        <f t="shared" si="0"/>
        <v>481767.12360000011</v>
      </c>
    </row>
    <row r="23" spans="1:6" ht="21" customHeight="1">
      <c r="A23" s="351">
        <v>21</v>
      </c>
      <c r="B23" s="102" t="str">
        <f>'[1]Emulsion Paint'!$B$20</f>
        <v>Whiting/stucco ( 2 coats)</v>
      </c>
      <c r="C23" s="18" t="s">
        <v>67</v>
      </c>
      <c r="D23" s="5">
        <f>'Stock &amp; Kitchen'!D293+'Toilet &amp; Bathroom'!D292+'Dining Area'!D291+'Sleeping Area'!D291+'Office space'!D291+'ECD Classes'!D291</f>
        <v>2493.4153846153845</v>
      </c>
      <c r="E23" s="20">
        <v>244</v>
      </c>
      <c r="F23" s="351">
        <f t="shared" si="0"/>
        <v>608393.35384615383</v>
      </c>
    </row>
    <row r="24" spans="1:6" ht="21" customHeight="1">
      <c r="A24" s="351">
        <v>22</v>
      </c>
      <c r="B24" s="102" t="str">
        <f>'[1]Emulsion Paint'!$B$19</f>
        <v>Induit/undercoat ( 2 coats)</v>
      </c>
      <c r="C24" s="18" t="s">
        <v>57</v>
      </c>
      <c r="D24" s="5">
        <f>'Stock &amp; Kitchen'!D294+'Toilet &amp; Bathroom'!D293+'Dining Area'!D292+'Sleeping Area'!D292+'Office space'!D292+'ECD Classes'!D292+54</f>
        <v>167.4504</v>
      </c>
      <c r="E24" s="20">
        <v>1100</v>
      </c>
      <c r="F24" s="351">
        <f t="shared" si="0"/>
        <v>184195.44</v>
      </c>
    </row>
    <row r="25" spans="1:6" ht="35.1" customHeight="1">
      <c r="A25" s="351">
        <v>23</v>
      </c>
      <c r="B25" s="102" t="s">
        <v>68</v>
      </c>
      <c r="C25" s="18" t="s">
        <v>57</v>
      </c>
      <c r="D25" s="5">
        <f>'Stock &amp; Kitchen'!D295+'Toilet &amp; Bathroom'!D294+'Dining Area'!D293+'Sleeping Area'!D293+'Office space'!D293+'ECD Classes'!D293</f>
        <v>748.02461538461534</v>
      </c>
      <c r="E25" s="20">
        <v>1100</v>
      </c>
      <c r="F25" s="351">
        <f t="shared" si="0"/>
        <v>822827.07692307688</v>
      </c>
    </row>
    <row r="26" spans="1:6" ht="21" customHeight="1">
      <c r="A26" s="351">
        <v>24</v>
      </c>
      <c r="B26" s="102" t="str">
        <f>'[1]Emulsion Paint'!$B$21</f>
        <v>Colle</v>
      </c>
      <c r="C26" s="18" t="s">
        <v>69</v>
      </c>
      <c r="D26" s="5">
        <f>'Stock &amp; Kitchen'!D296+'Toilet &amp; Bathroom'!D295+'Dining Area'!D294+'Sleeping Area'!D294+'Office space'!D294+'ECD Classes'!D294</f>
        <v>24.934153846153844</v>
      </c>
      <c r="E26" s="20">
        <v>3500</v>
      </c>
      <c r="F26" s="351">
        <f t="shared" si="0"/>
        <v>87269.538461538454</v>
      </c>
    </row>
    <row r="27" spans="1:6" ht="21" customHeight="1">
      <c r="A27" s="351">
        <v>25</v>
      </c>
      <c r="B27" s="102" t="s">
        <v>58</v>
      </c>
      <c r="C27" s="18" t="s">
        <v>59</v>
      </c>
      <c r="D27" s="5">
        <f>D21</f>
        <v>11.930400000000001</v>
      </c>
      <c r="E27" s="20">
        <v>3500</v>
      </c>
      <c r="F27" s="351">
        <f t="shared" si="0"/>
        <v>41756.400000000001</v>
      </c>
    </row>
    <row r="28" spans="1:6" s="55" customFormat="1" ht="19.5" customHeight="1">
      <c r="A28" s="351">
        <v>26</v>
      </c>
      <c r="B28" s="255" t="s">
        <v>139</v>
      </c>
      <c r="C28" s="256" t="s">
        <v>140</v>
      </c>
      <c r="D28" s="333">
        <f>'Roofing&amp; Ceiling&amp;Paver'!D8+'Roofing&amp; Ceiling&amp;Paver'!D39</f>
        <v>3.5696875000000006</v>
      </c>
      <c r="E28" s="322">
        <v>6000</v>
      </c>
      <c r="F28" s="351">
        <f t="shared" si="0"/>
        <v>21418.125000000004</v>
      </c>
    </row>
    <row r="29" spans="1:6" ht="21" customHeight="1">
      <c r="A29" s="351">
        <v>27</v>
      </c>
      <c r="B29" s="48" t="s">
        <v>65</v>
      </c>
      <c r="C29" s="44" t="s">
        <v>31</v>
      </c>
      <c r="D29" s="38">
        <f>'Stock &amp; Kitchen'!D281+'Toilet &amp; Bathroom'!D280+'Dining Area'!D279+'Sleeping Area'!D279+'Office space'!D279+'ECD Classes'!D279</f>
        <v>48.344947200000007</v>
      </c>
      <c r="E29" s="9">
        <v>10400</v>
      </c>
      <c r="F29" s="351">
        <f t="shared" si="0"/>
        <v>502787.45088000008</v>
      </c>
    </row>
    <row r="30" spans="1:6" ht="21" customHeight="1">
      <c r="A30" s="351">
        <v>28</v>
      </c>
      <c r="B30" s="48" t="s">
        <v>60</v>
      </c>
      <c r="C30" s="44" t="s">
        <v>44</v>
      </c>
      <c r="D30" s="38">
        <f>'Stock &amp; Kitchen'!D268+'Toilet &amp; Bathroom'!D267+'Dining Area'!D266+'Sleeping Area'!D266+'Office space'!D266+'ECD Classes'!D266</f>
        <v>7.6536000000000008</v>
      </c>
      <c r="E30" s="9">
        <v>3500</v>
      </c>
      <c r="F30" s="351">
        <f t="shared" si="0"/>
        <v>26787.600000000002</v>
      </c>
    </row>
    <row r="31" spans="1:6" ht="32.1" customHeight="1">
      <c r="A31" s="351">
        <v>29</v>
      </c>
      <c r="B31" s="48" t="s">
        <v>56</v>
      </c>
      <c r="C31" s="44" t="s">
        <v>57</v>
      </c>
      <c r="D31" s="38">
        <f>'Stock &amp; Kitchen'!D263+'Toilet &amp; Bathroom'!D262+'Dining Area'!D261+'Sleeping Area'!D261+'Office space'!D261+'ECD Classes'!D261</f>
        <v>80.362800000000007</v>
      </c>
      <c r="E31" s="9">
        <v>5662</v>
      </c>
      <c r="F31" s="351">
        <f t="shared" si="0"/>
        <v>455014.17360000004</v>
      </c>
    </row>
    <row r="32" spans="1:6" ht="21" customHeight="1">
      <c r="A32" s="351">
        <v>30</v>
      </c>
      <c r="B32" s="360" t="s">
        <v>187</v>
      </c>
      <c r="C32" s="359" t="s">
        <v>188</v>
      </c>
      <c r="D32" s="380">
        <f>'Roofing&amp; Ceiling&amp;Paver'!D7+'Roofing&amp; Ceiling&amp;Paver'!D38</f>
        <v>2.8557500000000005</v>
      </c>
      <c r="E32" s="364">
        <v>5500</v>
      </c>
      <c r="F32" s="351">
        <f t="shared" si="0"/>
        <v>15706.625000000002</v>
      </c>
    </row>
    <row r="33" spans="1:33" ht="21" customHeight="1">
      <c r="A33" s="351">
        <v>31</v>
      </c>
      <c r="B33" s="13" t="s">
        <v>37</v>
      </c>
      <c r="C33" s="9" t="s">
        <v>38</v>
      </c>
      <c r="D33" s="38">
        <f>'Stock &amp; Kitchen'!D174+'ECD Classes'!D173+'Office space'!D173+'Sleeping Area'!D173+'Dining Area'!D173+'Toilet &amp; Bathroom'!D173</f>
        <v>72.424999999999997</v>
      </c>
      <c r="E33" s="9">
        <v>500</v>
      </c>
      <c r="F33" s="351">
        <f t="shared" si="0"/>
        <v>36212.5</v>
      </c>
    </row>
    <row r="34" spans="1:33" ht="31.7" customHeight="1">
      <c r="A34" s="351">
        <v>32</v>
      </c>
      <c r="B34" s="10" t="s">
        <v>3</v>
      </c>
      <c r="C34" s="9" t="s">
        <v>4</v>
      </c>
      <c r="D34" s="38">
        <f>'ECD Classes'!D16+'ECD Classes'!D24+'ECD Classes'!D32+'Office space'!D32+'Office space'!D24+'Office space'!D16+'Sleeping Area'!D32+'Sleeping Area'!D24+'Sleeping Area'!D16+'Dining Area'!D32+'Dining Area'!D24+'Dining Area'!D16+'Toilet &amp; Bathroom'!D16+'Toilet &amp; Bathroom'!D24+'Toilet &amp; Bathroom'!D32+'Stock &amp; Kitchen'!D32+'Stock &amp; Kitchen'!D24+'Stock &amp; Kitchen'!D16</f>
        <v>35.120249999999999</v>
      </c>
      <c r="E34" s="9">
        <v>6500</v>
      </c>
      <c r="F34" s="351">
        <f t="shared" si="0"/>
        <v>228281.625</v>
      </c>
    </row>
    <row r="35" spans="1:33" ht="21" customHeight="1">
      <c r="A35" s="351">
        <v>33</v>
      </c>
      <c r="B35" s="13" t="s">
        <v>30</v>
      </c>
      <c r="C35" s="9" t="s">
        <v>28</v>
      </c>
      <c r="D35" s="38">
        <f>'ECD Classes'!D162+'ECD Classes'!D219+'Office space'!D162+'Office space'!D219+'Sleeping Area'!D162+'Sleeping Area'!D219+'Dining Area'!D162+'Dining Area'!D219+'Toilet &amp; Bathroom'!D162+'Toilet &amp; Bathroom'!D219+'Stock &amp; Kitchen'!D162+'Stock &amp; Kitchen'!D220</f>
        <v>99.925317647058833</v>
      </c>
      <c r="E35" s="9">
        <v>25500</v>
      </c>
      <c r="F35" s="351">
        <f t="shared" si="0"/>
        <v>2548095.6</v>
      </c>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row>
    <row r="36" spans="1:33" s="53" customFormat="1" ht="21" customHeight="1">
      <c r="A36" s="351">
        <v>34</v>
      </c>
      <c r="B36" s="361" t="s">
        <v>99</v>
      </c>
      <c r="C36" s="362" t="s">
        <v>28</v>
      </c>
      <c r="D36" s="381">
        <f>'Stock &amp; Kitchen'!D127+'Stock &amp; Kitchen'!D138+'Stock &amp; Kitchen'!D149+'Toilet &amp; Bathroom'!D127+'Toilet &amp; Bathroom'!D138+'Toilet &amp; Bathroom'!D149+'ECD Classes'!D127+'ECD Classes'!D138+'ECD Classes'!D149+'Office space'!D127+'Office space'!D138+'Office space'!D149+'Sleeping Area'!D127+'Sleeping Area'!D138+'Sleeping Area'!D149+'Dining Area'!D127+'Dining Area'!D138+'Dining Area'!D149</f>
        <v>11.743050000000002</v>
      </c>
      <c r="E36" s="363">
        <v>210000</v>
      </c>
      <c r="F36" s="351">
        <f t="shared" si="0"/>
        <v>2466040.5000000005</v>
      </c>
      <c r="G36" s="456"/>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row>
    <row r="37" spans="1:33" s="455" customFormat="1" ht="19.7" customHeight="1">
      <c r="A37" s="351">
        <v>35</v>
      </c>
      <c r="B37" s="457" t="s">
        <v>226</v>
      </c>
      <c r="C37" s="9" t="s">
        <v>44</v>
      </c>
      <c r="D37" s="458">
        <f>'Roofing&amp; Ceiling&amp;Paver'!D110</f>
        <v>13750</v>
      </c>
      <c r="E37" s="406">
        <v>300</v>
      </c>
      <c r="F37" s="351">
        <f t="shared" si="0"/>
        <v>4125000</v>
      </c>
    </row>
  </sheetData>
  <mergeCells count="1">
    <mergeCell ref="B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Cost summary</vt:lpstr>
      <vt:lpstr>ECD Classes</vt:lpstr>
      <vt:lpstr>Office space</vt:lpstr>
      <vt:lpstr>Sleeping Area</vt:lpstr>
      <vt:lpstr>Dining Area</vt:lpstr>
      <vt:lpstr>Toilet &amp; Bathroom</vt:lpstr>
      <vt:lpstr>Stock &amp; Kitchen</vt:lpstr>
      <vt:lpstr>Roofing&amp; Ceiling&amp;Paver</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Nyakabingo ECD</dc:title>
  <dc:subject>BoQ</dc:subject>
  <dc:creator>Eng. Kevin M</dc:creator>
  <cp:keywords/>
  <dc:description/>
  <cp:lastModifiedBy>Jeome Sande</cp:lastModifiedBy>
  <cp:lastPrinted>2025-11-20T10:11:01Z</cp:lastPrinted>
  <dcterms:created xsi:type="dcterms:W3CDTF">2024-07-05T12:33:19Z</dcterms:created>
  <dcterms:modified xsi:type="dcterms:W3CDTF">2025-11-20T21:36:01Z</dcterms:modified>
  <cp:category/>
</cp:coreProperties>
</file>