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Desktop\Trinity Metals\Procurement\Nyakabingo ECD_BoQ and EOI\Adjudication\Adjudication 4\"/>
    </mc:Choice>
  </mc:AlternateContent>
  <xr:revisionPtr revIDLastSave="0" documentId="13_ncr:1_{72867E98-2C5A-4EA8-BC63-D2FB5C5F30F4}" xr6:coauthVersionLast="47" xr6:coauthVersionMax="47" xr10:uidLastSave="{00000000-0000-0000-0000-000000000000}"/>
  <bookViews>
    <workbookView xWindow="-120" yWindow="-120" windowWidth="20730" windowHeight="11160" xr2:uid="{00000000-000D-0000-FFFF-FFFF00000000}"/>
  </bookViews>
  <sheets>
    <sheet name="Cost summary" sheetId="10" r:id="rId1"/>
    <sheet name="ECD Classes" sheetId="1" r:id="rId2"/>
    <sheet name="Office space" sheetId="6" r:id="rId3"/>
    <sheet name="Sleeping Area" sheetId="4" r:id="rId4"/>
    <sheet name="Dining Area" sheetId="2" r:id="rId5"/>
    <sheet name="Toilet &amp; Bathroom" sheetId="5" r:id="rId6"/>
    <sheet name="Stock &amp; Kitchen" sheetId="3" r:id="rId7"/>
    <sheet name="Roofing&amp; Ceiling&amp;Paver" sheetId="7" r:id="rId8"/>
    <sheet name="Summary" sheetId="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5" i="10" l="1"/>
  <c r="I14" i="10"/>
  <c r="H15" i="10"/>
  <c r="F15" i="10"/>
  <c r="D15" i="10"/>
  <c r="D14" i="10"/>
  <c r="F14" i="10"/>
  <c r="H14" i="10"/>
  <c r="F240" i="5"/>
  <c r="F239" i="5"/>
  <c r="F237" i="5" s="1"/>
  <c r="F353" i="5" s="1"/>
  <c r="F338" i="5"/>
  <c r="F329" i="5"/>
  <c r="F320" i="5"/>
  <c r="F309" i="5"/>
  <c r="F291" i="5"/>
  <c r="F278" i="5"/>
  <c r="F261" i="5"/>
  <c r="F249" i="5"/>
  <c r="F218" i="5"/>
  <c r="F198" i="5"/>
  <c r="F184" i="5"/>
  <c r="F173" i="5"/>
  <c r="F162" i="5"/>
  <c r="F149" i="5"/>
  <c r="F138" i="5"/>
  <c r="F127" i="5"/>
  <c r="F114" i="5"/>
  <c r="F102" i="5"/>
  <c r="F91" i="5"/>
  <c r="F80" i="5"/>
  <c r="F60" i="5"/>
  <c r="F42" i="5"/>
  <c r="F32" i="5"/>
  <c r="F24" i="5"/>
  <c r="F16" i="5"/>
  <c r="F9" i="5"/>
  <c r="F5" i="5"/>
  <c r="F220" i="5"/>
  <c r="F221" i="5"/>
  <c r="F222" i="5"/>
  <c r="F223" i="5"/>
  <c r="F224" i="5"/>
  <c r="F225" i="5"/>
  <c r="F226" i="5"/>
  <c r="F227" i="5"/>
  <c r="F228" i="5"/>
  <c r="F229" i="5"/>
  <c r="F230" i="5"/>
  <c r="F231" i="5"/>
  <c r="F232" i="5"/>
  <c r="F233" i="5"/>
  <c r="F234" i="5"/>
  <c r="F235" i="5"/>
  <c r="F236" i="5"/>
  <c r="F123" i="7" l="1"/>
  <c r="H123" i="7"/>
  <c r="H109" i="7"/>
  <c r="H95" i="7"/>
  <c r="H82" i="7"/>
  <c r="H70" i="7"/>
  <c r="H47" i="7"/>
  <c r="H37" i="7"/>
  <c r="H16" i="7"/>
  <c r="H6" i="7"/>
  <c r="H319" i="2"/>
  <c r="H337" i="2" s="1"/>
  <c r="H328" i="2"/>
  <c r="H308" i="2"/>
  <c r="H290" i="2"/>
  <c r="H277" i="2"/>
  <c r="H261" i="2"/>
  <c r="H249" i="2"/>
  <c r="H237" i="2"/>
  <c r="H218" i="2"/>
  <c r="H198" i="2"/>
  <c r="H184" i="2"/>
  <c r="H173" i="2"/>
  <c r="H162" i="2"/>
  <c r="H149" i="2"/>
  <c r="H138" i="2"/>
  <c r="H127" i="2"/>
  <c r="H114" i="2"/>
  <c r="H102" i="2"/>
  <c r="H91" i="2"/>
  <c r="H80" i="2"/>
  <c r="H60" i="2"/>
  <c r="H42" i="2"/>
  <c r="H32" i="2"/>
  <c r="H24" i="2"/>
  <c r="H16" i="2"/>
  <c r="H9" i="2"/>
  <c r="H5" i="2"/>
  <c r="H330" i="4"/>
  <c r="H321" i="4"/>
  <c r="H310" i="4"/>
  <c r="H292" i="4"/>
  <c r="H279" i="4"/>
  <c r="H263" i="4"/>
  <c r="H251" i="4"/>
  <c r="H239" i="4"/>
  <c r="H220" i="4"/>
  <c r="H200" i="4"/>
  <c r="H186" i="4"/>
  <c r="H173" i="4"/>
  <c r="H162" i="4"/>
  <c r="H149" i="4"/>
  <c r="H138" i="4"/>
  <c r="H127" i="4"/>
  <c r="H114" i="4"/>
  <c r="H102" i="4"/>
  <c r="H91" i="4"/>
  <c r="H80" i="4"/>
  <c r="H60" i="4"/>
  <c r="H42" i="4"/>
  <c r="H32" i="4"/>
  <c r="H24" i="4"/>
  <c r="H16" i="4"/>
  <c r="H9" i="4"/>
  <c r="H5" i="4"/>
  <c r="H337" i="1"/>
  <c r="H328" i="1"/>
  <c r="H317" i="1"/>
  <c r="H308" i="1"/>
  <c r="H290" i="1"/>
  <c r="H277" i="1"/>
  <c r="H261" i="1"/>
  <c r="H249" i="1"/>
  <c r="H237" i="1"/>
  <c r="H218" i="1"/>
  <c r="H198" i="1"/>
  <c r="H184" i="1"/>
  <c r="H173" i="1"/>
  <c r="H162" i="1"/>
  <c r="H149" i="1"/>
  <c r="H138" i="1"/>
  <c r="H127" i="1"/>
  <c r="H114" i="1"/>
  <c r="H102" i="1"/>
  <c r="H91" i="1"/>
  <c r="H80" i="1"/>
  <c r="H60" i="1"/>
  <c r="H42" i="1"/>
  <c r="H32" i="1"/>
  <c r="H24" i="1"/>
  <c r="H16" i="1"/>
  <c r="H9" i="1"/>
  <c r="H5" i="1"/>
  <c r="J218" i="5"/>
  <c r="J329" i="5"/>
  <c r="H8" i="1"/>
  <c r="H10" i="1"/>
  <c r="H11" i="1"/>
  <c r="H12" i="1"/>
  <c r="H13" i="1"/>
  <c r="H14" i="1"/>
  <c r="H15" i="1"/>
  <c r="H17" i="1"/>
  <c r="H18" i="1"/>
  <c r="H19" i="1"/>
  <c r="H20" i="1"/>
  <c r="H21" i="1"/>
  <c r="H22" i="1"/>
  <c r="H23" i="1"/>
  <c r="H25" i="1"/>
  <c r="H26" i="1"/>
  <c r="H27" i="1"/>
  <c r="H28" i="1"/>
  <c r="H29" i="1"/>
  <c r="H30" i="1"/>
  <c r="H31" i="1"/>
  <c r="H33" i="1"/>
  <c r="H34" i="1"/>
  <c r="H35" i="1"/>
  <c r="H36" i="1"/>
  <c r="H37" i="1"/>
  <c r="H38" i="1"/>
  <c r="H39" i="1"/>
  <c r="H40" i="1"/>
  <c r="H41" i="1"/>
  <c r="H43" i="1"/>
  <c r="H44" i="1"/>
  <c r="H45" i="1"/>
  <c r="H46" i="1"/>
  <c r="H47" i="1"/>
  <c r="H48" i="1"/>
  <c r="H49" i="1"/>
  <c r="H50" i="1"/>
  <c r="H51" i="1"/>
  <c r="H52" i="1"/>
  <c r="H53" i="1"/>
  <c r="H54" i="1"/>
  <c r="H55" i="1"/>
  <c r="H56" i="1"/>
  <c r="H57" i="1"/>
  <c r="H58" i="1"/>
  <c r="H59" i="1"/>
  <c r="H61" i="1"/>
  <c r="H62" i="1"/>
  <c r="H63" i="1"/>
  <c r="H64" i="1"/>
  <c r="H65" i="1"/>
  <c r="H66" i="1"/>
  <c r="H67" i="1"/>
  <c r="H68" i="1"/>
  <c r="H69" i="1"/>
  <c r="H70" i="1"/>
  <c r="H71" i="1"/>
  <c r="H72" i="1"/>
  <c r="H73" i="1"/>
  <c r="H74" i="1"/>
  <c r="H75" i="1"/>
  <c r="H76" i="1"/>
  <c r="H77" i="1"/>
  <c r="H78" i="1"/>
  <c r="H79" i="1"/>
  <c r="H81" i="1"/>
  <c r="H82" i="1"/>
  <c r="H83" i="1"/>
  <c r="H84" i="1"/>
  <c r="H85" i="1"/>
  <c r="H86" i="1"/>
  <c r="H87" i="1"/>
  <c r="H88" i="1"/>
  <c r="H89" i="1"/>
  <c r="H90" i="1"/>
  <c r="H92" i="1"/>
  <c r="H93" i="1"/>
  <c r="H94" i="1"/>
  <c r="H95" i="1"/>
  <c r="H96" i="1"/>
  <c r="H97" i="1"/>
  <c r="H98" i="1"/>
  <c r="H99" i="1"/>
  <c r="H100" i="1"/>
  <c r="H101" i="1"/>
  <c r="H103" i="1"/>
  <c r="H104" i="1"/>
  <c r="H105" i="1"/>
  <c r="H106" i="1"/>
  <c r="H107" i="1"/>
  <c r="H108" i="1"/>
  <c r="H109" i="1"/>
  <c r="H110" i="1"/>
  <c r="H111" i="1"/>
  <c r="H112" i="1"/>
  <c r="H113" i="1"/>
  <c r="H115" i="1"/>
  <c r="H116" i="1"/>
  <c r="H117" i="1"/>
  <c r="H118" i="1"/>
  <c r="H119" i="1"/>
  <c r="H120" i="1"/>
  <c r="H121" i="1"/>
  <c r="H122" i="1"/>
  <c r="H123" i="1"/>
  <c r="H124" i="1"/>
  <c r="H125" i="1"/>
  <c r="H126" i="1"/>
  <c r="H128" i="1"/>
  <c r="H129" i="1"/>
  <c r="H130" i="1"/>
  <c r="H131" i="1"/>
  <c r="H132" i="1"/>
  <c r="H133" i="1"/>
  <c r="H134" i="1"/>
  <c r="H135" i="1"/>
  <c r="H136" i="1"/>
  <c r="H137" i="1"/>
  <c r="H139" i="1"/>
  <c r="H140" i="1"/>
  <c r="H141" i="1"/>
  <c r="H142" i="1"/>
  <c r="H143" i="1"/>
  <c r="H144" i="1"/>
  <c r="H145" i="1"/>
  <c r="H146" i="1"/>
  <c r="H147" i="1"/>
  <c r="H148" i="1"/>
  <c r="H150" i="1"/>
  <c r="H151" i="1"/>
  <c r="H152" i="1"/>
  <c r="H153" i="1"/>
  <c r="H154" i="1"/>
  <c r="H155" i="1"/>
  <c r="H156" i="1"/>
  <c r="H157" i="1"/>
  <c r="H158" i="1"/>
  <c r="H159" i="1"/>
  <c r="H160" i="1"/>
  <c r="H161" i="1"/>
  <c r="H163" i="1"/>
  <c r="H164" i="1"/>
  <c r="H165" i="1"/>
  <c r="H166" i="1"/>
  <c r="H167" i="1"/>
  <c r="H168" i="1"/>
  <c r="H169" i="1"/>
  <c r="H170" i="1"/>
  <c r="H171" i="1"/>
  <c r="H172" i="1"/>
  <c r="H174" i="1"/>
  <c r="H175" i="1"/>
  <c r="H176" i="1"/>
  <c r="H177" i="1"/>
  <c r="H178" i="1"/>
  <c r="H179" i="1"/>
  <c r="H180" i="1"/>
  <c r="H181" i="1"/>
  <c r="H182" i="1"/>
  <c r="H183" i="1"/>
  <c r="H185" i="1"/>
  <c r="H186" i="1"/>
  <c r="H187" i="1"/>
  <c r="H188" i="1"/>
  <c r="H189" i="1"/>
  <c r="H190" i="1"/>
  <c r="H191" i="1"/>
  <c r="H192" i="1"/>
  <c r="H193" i="1"/>
  <c r="H194" i="1"/>
  <c r="H195" i="1"/>
  <c r="H196" i="1"/>
  <c r="H197" i="1"/>
  <c r="H199" i="1"/>
  <c r="H200" i="1"/>
  <c r="H201" i="1"/>
  <c r="H202" i="1"/>
  <c r="H203" i="1"/>
  <c r="H204" i="1"/>
  <c r="H205" i="1"/>
  <c r="H206" i="1"/>
  <c r="H207" i="1"/>
  <c r="H208" i="1"/>
  <c r="H209" i="1"/>
  <c r="H210" i="1"/>
  <c r="H211" i="1"/>
  <c r="H212" i="1"/>
  <c r="H213" i="1"/>
  <c r="H214" i="1"/>
  <c r="H215" i="1"/>
  <c r="H216" i="1"/>
  <c r="H217" i="1"/>
  <c r="H219" i="1"/>
  <c r="H220" i="1"/>
  <c r="H221" i="1"/>
  <c r="H222" i="1"/>
  <c r="H223" i="1"/>
  <c r="H224" i="1"/>
  <c r="H225" i="1"/>
  <c r="H226" i="1"/>
  <c r="H227" i="1"/>
  <c r="H228" i="1"/>
  <c r="H229" i="1"/>
  <c r="H230" i="1"/>
  <c r="H231" i="1"/>
  <c r="H232" i="1"/>
  <c r="H233" i="1"/>
  <c r="H234" i="1"/>
  <c r="H235" i="1"/>
  <c r="H236" i="1"/>
  <c r="H238" i="1"/>
  <c r="H239" i="1"/>
  <c r="H240" i="1"/>
  <c r="H241" i="1"/>
  <c r="H242" i="1"/>
  <c r="H243" i="1"/>
  <c r="H244" i="1"/>
  <c r="H245" i="1"/>
  <c r="H246" i="1"/>
  <c r="H247" i="1"/>
  <c r="H248" i="1"/>
  <c r="H250" i="1"/>
  <c r="H251" i="1"/>
  <c r="H252" i="1"/>
  <c r="H253" i="1"/>
  <c r="H254" i="1"/>
  <c r="H255" i="1"/>
  <c r="H256" i="1"/>
  <c r="H257" i="1"/>
  <c r="H258" i="1"/>
  <c r="H259" i="1"/>
  <c r="H260" i="1"/>
  <c r="H262" i="1"/>
  <c r="H263" i="1"/>
  <c r="H264" i="1"/>
  <c r="H265" i="1"/>
  <c r="H266" i="1"/>
  <c r="H267" i="1"/>
  <c r="H268" i="1"/>
  <c r="H269" i="1"/>
  <c r="H270" i="1"/>
  <c r="H271" i="1"/>
  <c r="H272" i="1"/>
  <c r="H273" i="1"/>
  <c r="H274" i="1"/>
  <c r="H275" i="1"/>
  <c r="H276" i="1"/>
  <c r="H278" i="1"/>
  <c r="H279" i="1"/>
  <c r="H280" i="1"/>
  <c r="H281" i="1"/>
  <c r="H282" i="1"/>
  <c r="H283" i="1"/>
  <c r="H284" i="1"/>
  <c r="H285" i="1"/>
  <c r="H286" i="1"/>
  <c r="H287" i="1"/>
  <c r="H288" i="1"/>
  <c r="H289" i="1"/>
  <c r="H291" i="1"/>
  <c r="H292" i="1"/>
  <c r="H293" i="1"/>
  <c r="H294" i="1"/>
  <c r="H295" i="1"/>
  <c r="H296" i="1"/>
  <c r="H297" i="1"/>
  <c r="H298" i="1"/>
  <c r="H299" i="1"/>
  <c r="H300" i="1"/>
  <c r="H301" i="1"/>
  <c r="H302" i="1"/>
  <c r="H303" i="1"/>
  <c r="H304" i="1"/>
  <c r="H305" i="1"/>
  <c r="H306" i="1"/>
  <c r="H307" i="1"/>
  <c r="H309" i="1"/>
  <c r="H310" i="1"/>
  <c r="H311" i="1"/>
  <c r="H312" i="1"/>
  <c r="H313" i="1"/>
  <c r="H314" i="1"/>
  <c r="H315" i="1"/>
  <c r="H316" i="1"/>
  <c r="H318" i="1"/>
  <c r="H319" i="1"/>
  <c r="H320" i="1"/>
  <c r="H321" i="1"/>
  <c r="H322" i="1"/>
  <c r="H323" i="1"/>
  <c r="H324" i="1"/>
  <c r="H325" i="1"/>
  <c r="H326" i="1"/>
  <c r="H327" i="1"/>
  <c r="H329" i="1"/>
  <c r="H330" i="1"/>
  <c r="H331" i="1"/>
  <c r="H332" i="1"/>
  <c r="H333" i="1"/>
  <c r="H334" i="1"/>
  <c r="H335" i="1"/>
  <c r="H7" i="1"/>
  <c r="J328" i="6" l="1"/>
  <c r="H237" i="5"/>
  <c r="E218" i="5"/>
  <c r="H218" i="5"/>
  <c r="J353" i="5"/>
  <c r="J116" i="5"/>
  <c r="J30" i="5"/>
  <c r="J38" i="5"/>
  <c r="H338" i="5"/>
  <c r="H329" i="5"/>
  <c r="H320" i="5"/>
  <c r="H309" i="5"/>
  <c r="H291" i="5"/>
  <c r="H278" i="5"/>
  <c r="H261" i="5"/>
  <c r="H198" i="5"/>
  <c r="H184" i="5"/>
  <c r="H173" i="5"/>
  <c r="H162" i="5"/>
  <c r="H149" i="5"/>
  <c r="H138" i="5"/>
  <c r="H127" i="5"/>
  <c r="H114" i="5"/>
  <c r="H115" i="5"/>
  <c r="H116" i="5"/>
  <c r="H117" i="5"/>
  <c r="H118" i="5"/>
  <c r="H119" i="5"/>
  <c r="H120" i="5"/>
  <c r="H121" i="5"/>
  <c r="H122" i="5"/>
  <c r="H123" i="5"/>
  <c r="H124" i="5"/>
  <c r="H125" i="5"/>
  <c r="H126" i="5"/>
  <c r="H128" i="5"/>
  <c r="H129" i="5"/>
  <c r="H130" i="5"/>
  <c r="H131" i="5"/>
  <c r="H132" i="5"/>
  <c r="H133" i="5"/>
  <c r="H134" i="5"/>
  <c r="H135" i="5"/>
  <c r="H136" i="5"/>
  <c r="H137" i="5"/>
  <c r="H139" i="5"/>
  <c r="H140" i="5"/>
  <c r="H141" i="5"/>
  <c r="H142" i="5"/>
  <c r="H143" i="5"/>
  <c r="H144" i="5"/>
  <c r="H145" i="5"/>
  <c r="H146" i="5"/>
  <c r="H147" i="5"/>
  <c r="H148" i="5"/>
  <c r="H150" i="5"/>
  <c r="H151" i="5"/>
  <c r="H152" i="5"/>
  <c r="H153" i="5"/>
  <c r="H154" i="5"/>
  <c r="H155" i="5"/>
  <c r="H156" i="5"/>
  <c r="H157" i="5"/>
  <c r="H158" i="5"/>
  <c r="H159" i="5"/>
  <c r="H160" i="5"/>
  <c r="H161" i="5"/>
  <c r="H163" i="5"/>
  <c r="H164" i="5"/>
  <c r="H165" i="5"/>
  <c r="H166" i="5"/>
  <c r="H167" i="5"/>
  <c r="H168" i="5"/>
  <c r="H169" i="5"/>
  <c r="H170" i="5"/>
  <c r="H171" i="5"/>
  <c r="H172" i="5"/>
  <c r="H174" i="5"/>
  <c r="H175" i="5"/>
  <c r="H176" i="5"/>
  <c r="H177" i="5"/>
  <c r="H178" i="5"/>
  <c r="H179" i="5"/>
  <c r="H180" i="5"/>
  <c r="H181" i="5"/>
  <c r="H182" i="5"/>
  <c r="H183" i="5"/>
  <c r="H185" i="5"/>
  <c r="H186" i="5"/>
  <c r="H187" i="5"/>
  <c r="H188" i="5"/>
  <c r="H189" i="5"/>
  <c r="H190" i="5"/>
  <c r="H191" i="5"/>
  <c r="H192" i="5"/>
  <c r="H193" i="5"/>
  <c r="H194" i="5"/>
  <c r="H195" i="5"/>
  <c r="H196" i="5"/>
  <c r="H197" i="5"/>
  <c r="H199" i="5"/>
  <c r="H200" i="5"/>
  <c r="H201" i="5"/>
  <c r="H202" i="5"/>
  <c r="H203" i="5"/>
  <c r="H204" i="5"/>
  <c r="H205" i="5"/>
  <c r="H206" i="5"/>
  <c r="H207" i="5"/>
  <c r="H208" i="5"/>
  <c r="H209" i="5"/>
  <c r="H210" i="5"/>
  <c r="H211" i="5"/>
  <c r="H212" i="5"/>
  <c r="H213" i="5"/>
  <c r="H214" i="5"/>
  <c r="H215" i="5"/>
  <c r="H216" i="5"/>
  <c r="H217" i="5"/>
  <c r="H219" i="5"/>
  <c r="H220" i="5"/>
  <c r="H221" i="5"/>
  <c r="H222" i="5"/>
  <c r="H223" i="5"/>
  <c r="H224" i="5"/>
  <c r="H225" i="5"/>
  <c r="H226" i="5"/>
  <c r="H227" i="5"/>
  <c r="H228" i="5"/>
  <c r="H229" i="5"/>
  <c r="H230" i="5"/>
  <c r="H231" i="5"/>
  <c r="H232" i="5"/>
  <c r="H233" i="5"/>
  <c r="H234" i="5"/>
  <c r="H235" i="5"/>
  <c r="H236" i="5"/>
  <c r="H238" i="5"/>
  <c r="H239" i="5"/>
  <c r="H240" i="5"/>
  <c r="H241" i="5"/>
  <c r="H242" i="5"/>
  <c r="H243" i="5"/>
  <c r="H244" i="5"/>
  <c r="H245" i="5"/>
  <c r="H246" i="5"/>
  <c r="H247" i="5"/>
  <c r="H248" i="5"/>
  <c r="H250" i="5"/>
  <c r="H251" i="5"/>
  <c r="H249" i="5" s="1"/>
  <c r="H252" i="5"/>
  <c r="H253" i="5"/>
  <c r="H254" i="5"/>
  <c r="H255" i="5"/>
  <c r="H256" i="5"/>
  <c r="H257" i="5"/>
  <c r="H258" i="5"/>
  <c r="H259" i="5"/>
  <c r="H260" i="5"/>
  <c r="H262" i="5"/>
  <c r="H263" i="5"/>
  <c r="H264" i="5"/>
  <c r="H265" i="5"/>
  <c r="H266" i="5"/>
  <c r="H267" i="5"/>
  <c r="H268" i="5"/>
  <c r="H269" i="5"/>
  <c r="H270" i="5"/>
  <c r="H271" i="5"/>
  <c r="H272" i="5"/>
  <c r="H273" i="5"/>
  <c r="H274" i="5"/>
  <c r="H275" i="5"/>
  <c r="H276" i="5"/>
  <c r="H277" i="5"/>
  <c r="H279" i="5"/>
  <c r="H280" i="5"/>
  <c r="H281" i="5"/>
  <c r="H282" i="5"/>
  <c r="H283" i="5"/>
  <c r="H284" i="5"/>
  <c r="H285" i="5"/>
  <c r="H286" i="5"/>
  <c r="H287" i="5"/>
  <c r="H288" i="5"/>
  <c r="H289" i="5"/>
  <c r="H290" i="5"/>
  <c r="H292" i="5"/>
  <c r="H293" i="5"/>
  <c r="H294" i="5"/>
  <c r="H295" i="5"/>
  <c r="H296" i="5"/>
  <c r="H297" i="5"/>
  <c r="H298" i="5"/>
  <c r="H299" i="5"/>
  <c r="H300" i="5"/>
  <c r="H301" i="5"/>
  <c r="H302" i="5"/>
  <c r="H303" i="5"/>
  <c r="H304" i="5"/>
  <c r="H305" i="5"/>
  <c r="H306" i="5"/>
  <c r="H307" i="5"/>
  <c r="H308" i="5"/>
  <c r="H310" i="5"/>
  <c r="H311" i="5"/>
  <c r="H312" i="5"/>
  <c r="H313" i="5"/>
  <c r="H314" i="5"/>
  <c r="H315" i="5"/>
  <c r="H316" i="5"/>
  <c r="H317" i="5"/>
  <c r="H318" i="5"/>
  <c r="H319" i="5"/>
  <c r="H321" i="5"/>
  <c r="H322" i="5"/>
  <c r="H323" i="5"/>
  <c r="H324" i="5"/>
  <c r="H325" i="5"/>
  <c r="H326" i="5"/>
  <c r="H327" i="5"/>
  <c r="H328" i="5"/>
  <c r="H330" i="5"/>
  <c r="H331" i="5"/>
  <c r="H332" i="5"/>
  <c r="H333" i="5"/>
  <c r="H334" i="5"/>
  <c r="H335" i="5"/>
  <c r="H336" i="5"/>
  <c r="H337" i="5"/>
  <c r="H339" i="5"/>
  <c r="H340" i="5"/>
  <c r="H341" i="5"/>
  <c r="H342" i="5"/>
  <c r="H343" i="5"/>
  <c r="H344" i="5"/>
  <c r="H345" i="5"/>
  <c r="H346" i="5"/>
  <c r="H347" i="5"/>
  <c r="H348" i="5"/>
  <c r="H349" i="5"/>
  <c r="H350" i="5"/>
  <c r="H102" i="5"/>
  <c r="H91" i="5"/>
  <c r="H80" i="5"/>
  <c r="H60" i="5"/>
  <c r="H42" i="5"/>
  <c r="H32" i="5"/>
  <c r="H24" i="5"/>
  <c r="H16" i="5"/>
  <c r="H9" i="5"/>
  <c r="H5" i="5"/>
  <c r="I16" i="10"/>
  <c r="H13" i="10"/>
  <c r="F13" i="10"/>
  <c r="D13" i="10"/>
  <c r="H12" i="10"/>
  <c r="F12" i="10"/>
  <c r="D12" i="10"/>
  <c r="H11" i="10"/>
  <c r="F11" i="10"/>
  <c r="D11" i="10"/>
  <c r="H10" i="10"/>
  <c r="F10" i="10"/>
  <c r="D10" i="10"/>
  <c r="H9" i="10"/>
  <c r="F9" i="10"/>
  <c r="D9" i="10"/>
  <c r="H8" i="10"/>
  <c r="F8" i="10"/>
  <c r="D8" i="10"/>
  <c r="H7" i="10"/>
  <c r="F7" i="10"/>
  <c r="D7" i="10"/>
  <c r="H6" i="10"/>
  <c r="F6" i="10"/>
  <c r="D6" i="10"/>
  <c r="H5" i="10"/>
  <c r="F5" i="10"/>
  <c r="D5" i="10"/>
  <c r="H8" i="5"/>
  <c r="H10" i="5"/>
  <c r="H11" i="5"/>
  <c r="H12" i="5"/>
  <c r="H13" i="5"/>
  <c r="H14" i="5"/>
  <c r="H15" i="5"/>
  <c r="H17" i="5"/>
  <c r="H18" i="5"/>
  <c r="H19" i="5"/>
  <c r="H20" i="5"/>
  <c r="H21" i="5"/>
  <c r="H22" i="5"/>
  <c r="H23" i="5"/>
  <c r="H25" i="5"/>
  <c r="H26" i="5"/>
  <c r="H27" i="5"/>
  <c r="H28" i="5"/>
  <c r="H29" i="5"/>
  <c r="H30" i="5"/>
  <c r="H31" i="5"/>
  <c r="H33" i="5"/>
  <c r="H34" i="5"/>
  <c r="H35" i="5"/>
  <c r="H36" i="5"/>
  <c r="H37" i="5"/>
  <c r="H38" i="5"/>
  <c r="H39" i="5"/>
  <c r="H40" i="5"/>
  <c r="H41" i="5"/>
  <c r="H43" i="5"/>
  <c r="H44" i="5"/>
  <c r="H45" i="5"/>
  <c r="H46" i="5"/>
  <c r="H47" i="5"/>
  <c r="H48" i="5"/>
  <c r="H49" i="5"/>
  <c r="H50" i="5"/>
  <c r="H51" i="5"/>
  <c r="H52" i="5"/>
  <c r="H53" i="5"/>
  <c r="H54" i="5"/>
  <c r="H55" i="5"/>
  <c r="H56" i="5"/>
  <c r="H57" i="5"/>
  <c r="H58" i="5"/>
  <c r="H59" i="5"/>
  <c r="H61" i="5"/>
  <c r="H62" i="5"/>
  <c r="H63" i="5"/>
  <c r="H64" i="5"/>
  <c r="H65" i="5"/>
  <c r="H66" i="5"/>
  <c r="H67" i="5"/>
  <c r="H68" i="5"/>
  <c r="H69" i="5"/>
  <c r="H70" i="5"/>
  <c r="H71" i="5"/>
  <c r="H72" i="5"/>
  <c r="H73" i="5"/>
  <c r="H74" i="5"/>
  <c r="H75" i="5"/>
  <c r="H76" i="5"/>
  <c r="H77" i="5"/>
  <c r="H78" i="5"/>
  <c r="H79" i="5"/>
  <c r="H81" i="5"/>
  <c r="H82" i="5"/>
  <c r="H83" i="5"/>
  <c r="H84" i="5"/>
  <c r="H85" i="5"/>
  <c r="H86" i="5"/>
  <c r="H87" i="5"/>
  <c r="H88" i="5"/>
  <c r="H89" i="5"/>
  <c r="H90" i="5"/>
  <c r="H92" i="5"/>
  <c r="H93" i="5"/>
  <c r="H94" i="5"/>
  <c r="H95" i="5"/>
  <c r="H96" i="5"/>
  <c r="H97" i="5"/>
  <c r="H98" i="5"/>
  <c r="H99" i="5"/>
  <c r="H100" i="5"/>
  <c r="H101" i="5"/>
  <c r="H103" i="5"/>
  <c r="H104" i="5"/>
  <c r="H105" i="5"/>
  <c r="H106" i="5"/>
  <c r="H107" i="5"/>
  <c r="H108" i="5"/>
  <c r="H109" i="5"/>
  <c r="H110" i="5"/>
  <c r="H111" i="5"/>
  <c r="H112" i="5"/>
  <c r="H113" i="5"/>
  <c r="H7" i="5"/>
  <c r="F241" i="5"/>
  <c r="F242" i="5"/>
  <c r="F243" i="5"/>
  <c r="F244" i="5"/>
  <c r="F245" i="5"/>
  <c r="F246" i="5"/>
  <c r="F16" i="10" l="1"/>
  <c r="D16" i="10"/>
  <c r="H16" i="10"/>
  <c r="H353" i="5"/>
  <c r="J123" i="7"/>
  <c r="J330" i="3"/>
  <c r="F330" i="3"/>
  <c r="H330" i="3"/>
  <c r="J8" i="2"/>
  <c r="J10" i="2"/>
  <c r="J13" i="2"/>
  <c r="J14" i="2"/>
  <c r="J15" i="2"/>
  <c r="J17" i="2"/>
  <c r="J19" i="2"/>
  <c r="J20" i="2"/>
  <c r="J21" i="2"/>
  <c r="J23" i="2"/>
  <c r="J24" i="2"/>
  <c r="J25" i="2"/>
  <c r="J27" i="2"/>
  <c r="J28" i="2"/>
  <c r="J29" i="2"/>
  <c r="J31" i="2"/>
  <c r="J33" i="2"/>
  <c r="J35" i="2"/>
  <c r="J36" i="2"/>
  <c r="J37" i="2"/>
  <c r="J39" i="2"/>
  <c r="J40" i="2"/>
  <c r="J41" i="2"/>
  <c r="J44" i="2"/>
  <c r="J49" i="2"/>
  <c r="J50" i="2"/>
  <c r="J51" i="2"/>
  <c r="J53" i="2"/>
  <c r="J54" i="2"/>
  <c r="J55" i="2"/>
  <c r="J59" i="2"/>
  <c r="J62" i="2"/>
  <c r="J67" i="2"/>
  <c r="J68" i="2"/>
  <c r="J69" i="2"/>
  <c r="J71" i="2"/>
  <c r="J72" i="2"/>
  <c r="J73" i="2"/>
  <c r="J77" i="2"/>
  <c r="J78" i="2"/>
  <c r="J79" i="2"/>
  <c r="J81" i="2"/>
  <c r="J85" i="2"/>
  <c r="J86" i="2"/>
  <c r="J87" i="2"/>
  <c r="J90" i="2"/>
  <c r="J92" i="2"/>
  <c r="J96" i="2"/>
  <c r="J97" i="2"/>
  <c r="J98" i="2"/>
  <c r="J101" i="2"/>
  <c r="J103" i="2"/>
  <c r="J107" i="2"/>
  <c r="J108" i="2"/>
  <c r="J109" i="2"/>
  <c r="J112" i="2"/>
  <c r="J113" i="2"/>
  <c r="J114" i="2"/>
  <c r="J115" i="2"/>
  <c r="J118" i="2"/>
  <c r="J119" i="2"/>
  <c r="J120" i="2"/>
  <c r="J121" i="2"/>
  <c r="J124" i="2"/>
  <c r="J125" i="2"/>
  <c r="J126" i="2"/>
  <c r="J128" i="2"/>
  <c r="J130" i="2"/>
  <c r="J131" i="2"/>
  <c r="J132" i="2"/>
  <c r="J134" i="2"/>
  <c r="J135" i="2"/>
  <c r="J137" i="2"/>
  <c r="J139" i="2"/>
  <c r="J141" i="2"/>
  <c r="J142" i="2"/>
  <c r="J143" i="2"/>
  <c r="J145" i="2"/>
  <c r="J146" i="2"/>
  <c r="J148" i="2"/>
  <c r="J150" i="2"/>
  <c r="J152" i="2"/>
  <c r="J153" i="2"/>
  <c r="J154" i="2"/>
  <c r="J156" i="2"/>
  <c r="J157" i="2"/>
  <c r="J159" i="2"/>
  <c r="J160" i="2"/>
  <c r="J161" i="2"/>
  <c r="J163" i="2"/>
  <c r="J167" i="2"/>
  <c r="J168" i="2"/>
  <c r="J169" i="2"/>
  <c r="J172" i="2"/>
  <c r="J174" i="2"/>
  <c r="J176" i="2"/>
  <c r="J177" i="2"/>
  <c r="J178" i="2"/>
  <c r="J181" i="2"/>
  <c r="J182" i="2"/>
  <c r="J183" i="2"/>
  <c r="J186" i="2"/>
  <c r="J190" i="2"/>
  <c r="J191" i="2"/>
  <c r="J192" i="2"/>
  <c r="J195" i="2"/>
  <c r="J196" i="2"/>
  <c r="J197" i="2"/>
  <c r="J199" i="2"/>
  <c r="J205" i="2"/>
  <c r="J206" i="2"/>
  <c r="J207" i="2"/>
  <c r="J210" i="2"/>
  <c r="J211" i="2"/>
  <c r="J212" i="2"/>
  <c r="J215" i="2"/>
  <c r="J216" i="2"/>
  <c r="J217" i="2"/>
  <c r="J220" i="2"/>
  <c r="J225" i="2"/>
  <c r="J226" i="2"/>
  <c r="J227" i="2"/>
  <c r="J230" i="2"/>
  <c r="J231" i="2"/>
  <c r="J232" i="2"/>
  <c r="J235" i="2"/>
  <c r="J236" i="2"/>
  <c r="J238" i="2"/>
  <c r="J241" i="2"/>
  <c r="J242" i="2"/>
  <c r="J243" i="2"/>
  <c r="J246" i="2"/>
  <c r="J247" i="2"/>
  <c r="J248" i="2"/>
  <c r="J250" i="2"/>
  <c r="J253" i="2"/>
  <c r="J254" i="2"/>
  <c r="J255" i="2"/>
  <c r="J258" i="2"/>
  <c r="J259" i="2"/>
  <c r="J260" i="2"/>
  <c r="J262" i="2"/>
  <c r="J269" i="2"/>
  <c r="J270" i="2"/>
  <c r="J271" i="2"/>
  <c r="J274" i="2"/>
  <c r="J275" i="2"/>
  <c r="J276" i="2"/>
  <c r="J278" i="2"/>
  <c r="J282" i="2"/>
  <c r="J283" i="2"/>
  <c r="J284" i="2"/>
  <c r="J287" i="2"/>
  <c r="J288" i="2"/>
  <c r="J289" i="2"/>
  <c r="J291" i="2"/>
  <c r="J300" i="2"/>
  <c r="J301" i="2"/>
  <c r="J302" i="2"/>
  <c r="J305" i="2"/>
  <c r="J306" i="2"/>
  <c r="J307" i="2"/>
  <c r="J308" i="2"/>
  <c r="J309" i="2"/>
  <c r="J310" i="2"/>
  <c r="J311" i="2"/>
  <c r="J312" i="2"/>
  <c r="J313" i="2"/>
  <c r="J316" i="2"/>
  <c r="J317" i="2"/>
  <c r="J318" i="2"/>
  <c r="J319" i="2"/>
  <c r="J320" i="2"/>
  <c r="J321" i="2"/>
  <c r="J322" i="2"/>
  <c r="J323" i="2"/>
  <c r="J324" i="2"/>
  <c r="J327" i="2"/>
  <c r="J328" i="2"/>
  <c r="J329" i="2"/>
  <c r="J330" i="2"/>
  <c r="J331" i="2"/>
  <c r="J332" i="2"/>
  <c r="J333" i="2"/>
  <c r="J330" i="4"/>
  <c r="F330" i="4"/>
  <c r="F328" i="6"/>
  <c r="H328" i="6"/>
  <c r="F337" i="1"/>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7" i="6"/>
  <c r="F5" i="6"/>
  <c r="F8" i="5" l="1"/>
  <c r="F10" i="5"/>
  <c r="F13" i="5"/>
  <c r="F14" i="5"/>
  <c r="F15" i="5"/>
  <c r="F17" i="5"/>
  <c r="F19" i="5"/>
  <c r="F20" i="5"/>
  <c r="F21" i="5"/>
  <c r="F23" i="5"/>
  <c r="F25" i="5"/>
  <c r="F27" i="5"/>
  <c r="F28" i="5"/>
  <c r="F29" i="5"/>
  <c r="F31" i="5"/>
  <c r="F33" i="5"/>
  <c r="F35" i="5"/>
  <c r="F36" i="5"/>
  <c r="F37" i="5"/>
  <c r="F39" i="5"/>
  <c r="F40" i="5"/>
  <c r="F41" i="5"/>
  <c r="F44" i="5"/>
  <c r="F49" i="5"/>
  <c r="F50" i="5"/>
  <c r="F51" i="5"/>
  <c r="F53" i="5"/>
  <c r="F54" i="5"/>
  <c r="F55" i="5"/>
  <c r="F59" i="5"/>
  <c r="F62" i="5"/>
  <c r="F67" i="5"/>
  <c r="F68" i="5"/>
  <c r="F69" i="5"/>
  <c r="F71" i="5"/>
  <c r="F72" i="5"/>
  <c r="F73" i="5"/>
  <c r="F77" i="5"/>
  <c r="F78" i="5"/>
  <c r="F79" i="5"/>
  <c r="F81" i="5"/>
  <c r="F85" i="5"/>
  <c r="F86" i="5"/>
  <c r="F87" i="5"/>
  <c r="F90" i="5"/>
  <c r="F92" i="5"/>
  <c r="F96" i="5"/>
  <c r="F97" i="5"/>
  <c r="F98" i="5"/>
  <c r="F101" i="5"/>
  <c r="F103" i="5"/>
  <c r="F107" i="5"/>
  <c r="F108" i="5"/>
  <c r="F109" i="5"/>
  <c r="F112" i="5"/>
  <c r="F113" i="5"/>
  <c r="F115" i="5"/>
  <c r="F118" i="5"/>
  <c r="F119" i="5"/>
  <c r="F120" i="5"/>
  <c r="F121" i="5"/>
  <c r="F124" i="5"/>
  <c r="F125" i="5"/>
  <c r="F126" i="5"/>
  <c r="F128" i="5"/>
  <c r="F130" i="5"/>
  <c r="F131" i="5"/>
  <c r="F132" i="5"/>
  <c r="F134" i="5"/>
  <c r="F135" i="5"/>
  <c r="F137" i="5"/>
  <c r="F139" i="5"/>
  <c r="F141" i="5"/>
  <c r="F142" i="5"/>
  <c r="F143" i="5"/>
  <c r="F145" i="5"/>
  <c r="F146" i="5"/>
  <c r="F148" i="5"/>
  <c r="F150" i="5"/>
  <c r="F152" i="5"/>
  <c r="F153" i="5"/>
  <c r="F154" i="5"/>
  <c r="F156" i="5"/>
  <c r="F157" i="5"/>
  <c r="F159" i="5"/>
  <c r="F160" i="5"/>
  <c r="F161" i="5"/>
  <c r="F163" i="5"/>
  <c r="F167" i="5"/>
  <c r="F168" i="5"/>
  <c r="F169" i="5"/>
  <c r="F172" i="5"/>
  <c r="F174" i="5"/>
  <c r="F176" i="5"/>
  <c r="F177" i="5"/>
  <c r="F178" i="5"/>
  <c r="F181" i="5"/>
  <c r="F182" i="5"/>
  <c r="F183" i="5"/>
  <c r="F186" i="5"/>
  <c r="F190" i="5"/>
  <c r="F191" i="5"/>
  <c r="F192" i="5"/>
  <c r="F195" i="5"/>
  <c r="F196" i="5"/>
  <c r="F197" i="5"/>
  <c r="F199" i="5"/>
  <c r="F205" i="5"/>
  <c r="F206" i="5"/>
  <c r="F207" i="5"/>
  <c r="F210" i="5"/>
  <c r="F211" i="5"/>
  <c r="F212" i="5"/>
  <c r="F215" i="5"/>
  <c r="F216" i="5"/>
  <c r="F217" i="5"/>
  <c r="F247" i="5"/>
  <c r="F248" i="5"/>
  <c r="F250" i="5"/>
  <c r="F253" i="5"/>
  <c r="F254" i="5"/>
  <c r="F255" i="5"/>
  <c r="F258" i="5"/>
  <c r="F259" i="5"/>
  <c r="F260" i="5"/>
  <c r="F262" i="5"/>
  <c r="F263" i="5"/>
  <c r="F270" i="5"/>
  <c r="F271" i="5"/>
  <c r="F272" i="5"/>
  <c r="F275" i="5"/>
  <c r="F276" i="5"/>
  <c r="F277" i="5"/>
  <c r="F279" i="5"/>
  <c r="F283" i="5"/>
  <c r="F284" i="5"/>
  <c r="F285" i="5"/>
  <c r="F288" i="5"/>
  <c r="F289" i="5"/>
  <c r="F290" i="5"/>
  <c r="F292" i="5"/>
  <c r="F301" i="5"/>
  <c r="F302" i="5"/>
  <c r="F303" i="5"/>
  <c r="F306" i="5"/>
  <c r="F307" i="5"/>
  <c r="F308" i="5"/>
  <c r="F310" i="5"/>
  <c r="F311" i="5"/>
  <c r="F312" i="5"/>
  <c r="F313" i="5"/>
  <c r="F314" i="5"/>
  <c r="F317" i="5"/>
  <c r="F318" i="5"/>
  <c r="F319" i="5"/>
  <c r="F321" i="5"/>
  <c r="F322" i="5"/>
  <c r="F323" i="5"/>
  <c r="F324" i="5"/>
  <c r="F325" i="5"/>
  <c r="F328" i="5"/>
  <c r="F330" i="5"/>
  <c r="F331" i="5"/>
  <c r="F332" i="5"/>
  <c r="F333" i="5"/>
  <c r="F334" i="5"/>
  <c r="F337" i="5"/>
  <c r="F340" i="5"/>
  <c r="F346" i="5"/>
  <c r="F347" i="5"/>
  <c r="F348" i="5"/>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8" i="7"/>
  <c r="F6" i="7"/>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7" i="3"/>
  <c r="F5" i="3"/>
  <c r="F8" i="2"/>
  <c r="F10" i="2"/>
  <c r="F13" i="2"/>
  <c r="F14" i="2"/>
  <c r="F15" i="2"/>
  <c r="F17" i="2"/>
  <c r="F19" i="2"/>
  <c r="F20" i="2"/>
  <c r="F21" i="2"/>
  <c r="F23" i="2"/>
  <c r="F24" i="2"/>
  <c r="F25" i="2"/>
  <c r="F27" i="2"/>
  <c r="F28" i="2"/>
  <c r="F29" i="2"/>
  <c r="F31" i="2"/>
  <c r="F33" i="2"/>
  <c r="F35" i="2"/>
  <c r="F36" i="2"/>
  <c r="F37" i="2"/>
  <c r="F39" i="2"/>
  <c r="F40" i="2"/>
  <c r="F41" i="2"/>
  <c r="F44" i="2"/>
  <c r="F49" i="2"/>
  <c r="F50" i="2"/>
  <c r="F51" i="2"/>
  <c r="F53" i="2"/>
  <c r="F54" i="2"/>
  <c r="F55" i="2"/>
  <c r="F59" i="2"/>
  <c r="F62" i="2"/>
  <c r="F67" i="2"/>
  <c r="F68" i="2"/>
  <c r="F69" i="2"/>
  <c r="F71" i="2"/>
  <c r="F72" i="2"/>
  <c r="F73" i="2"/>
  <c r="F77" i="2"/>
  <c r="F78" i="2"/>
  <c r="F79" i="2"/>
  <c r="F81" i="2"/>
  <c r="F85" i="2"/>
  <c r="F86" i="2"/>
  <c r="F87" i="2"/>
  <c r="F90" i="2"/>
  <c r="F92" i="2"/>
  <c r="F96" i="2"/>
  <c r="F97" i="2"/>
  <c r="F98" i="2"/>
  <c r="F101" i="2"/>
  <c r="F103" i="2"/>
  <c r="F107" i="2"/>
  <c r="F108" i="2"/>
  <c r="F109" i="2"/>
  <c r="F112" i="2"/>
  <c r="F113" i="2"/>
  <c r="F114" i="2"/>
  <c r="F115" i="2"/>
  <c r="F118" i="2"/>
  <c r="F119" i="2"/>
  <c r="F120" i="2"/>
  <c r="F121" i="2"/>
  <c r="F124" i="2"/>
  <c r="F125" i="2"/>
  <c r="F126" i="2"/>
  <c r="F128" i="2"/>
  <c r="F130" i="2"/>
  <c r="F131" i="2"/>
  <c r="F132" i="2"/>
  <c r="F134" i="2"/>
  <c r="F135" i="2"/>
  <c r="F137" i="2"/>
  <c r="F139" i="2"/>
  <c r="F141" i="2"/>
  <c r="F142" i="2"/>
  <c r="F143" i="2"/>
  <c r="F145" i="2"/>
  <c r="F146" i="2"/>
  <c r="F148" i="2"/>
  <c r="F150" i="2"/>
  <c r="F152" i="2"/>
  <c r="F153" i="2"/>
  <c r="F154" i="2"/>
  <c r="F156" i="2"/>
  <c r="F157" i="2"/>
  <c r="F159" i="2"/>
  <c r="F160" i="2"/>
  <c r="F161" i="2"/>
  <c r="F163" i="2"/>
  <c r="F167" i="2"/>
  <c r="F168" i="2"/>
  <c r="F169" i="2"/>
  <c r="F172" i="2"/>
  <c r="F174" i="2"/>
  <c r="F176" i="2"/>
  <c r="F177" i="2"/>
  <c r="F178" i="2"/>
  <c r="F181" i="2"/>
  <c r="F182" i="2"/>
  <c r="F183" i="2"/>
  <c r="F186" i="2"/>
  <c r="F190" i="2"/>
  <c r="F191" i="2"/>
  <c r="F192" i="2"/>
  <c r="F195" i="2"/>
  <c r="F196" i="2"/>
  <c r="F197" i="2"/>
  <c r="F199" i="2"/>
  <c r="F205" i="2"/>
  <c r="F206" i="2"/>
  <c r="F207" i="2"/>
  <c r="F210" i="2"/>
  <c r="F211" i="2"/>
  <c r="F212" i="2"/>
  <c r="F215" i="2"/>
  <c r="F216" i="2"/>
  <c r="F217" i="2"/>
  <c r="F220" i="2"/>
  <c r="F225" i="2"/>
  <c r="F226" i="2"/>
  <c r="F227" i="2"/>
  <c r="F230" i="2"/>
  <c r="F231" i="2"/>
  <c r="F232" i="2"/>
  <c r="F235" i="2"/>
  <c r="F236" i="2"/>
  <c r="F238" i="2"/>
  <c r="F241" i="2"/>
  <c r="F242" i="2"/>
  <c r="F243" i="2"/>
  <c r="F246" i="2"/>
  <c r="F247" i="2"/>
  <c r="F248" i="2"/>
  <c r="F250" i="2"/>
  <c r="F253" i="2"/>
  <c r="F254" i="2"/>
  <c r="F255" i="2"/>
  <c r="F258" i="2"/>
  <c r="F259" i="2"/>
  <c r="F260" i="2"/>
  <c r="F262" i="2"/>
  <c r="F269" i="2"/>
  <c r="F270" i="2"/>
  <c r="F271" i="2"/>
  <c r="F274" i="2"/>
  <c r="F275" i="2"/>
  <c r="F276" i="2"/>
  <c r="F278" i="2"/>
  <c r="F282" i="2"/>
  <c r="F283" i="2"/>
  <c r="F284" i="2"/>
  <c r="F287" i="2"/>
  <c r="F288" i="2"/>
  <c r="F289" i="2"/>
  <c r="F291" i="2"/>
  <c r="F300" i="2"/>
  <c r="F301" i="2"/>
  <c r="F302" i="2"/>
  <c r="F305" i="2"/>
  <c r="F306" i="2"/>
  <c r="F307" i="2"/>
  <c r="F308" i="2"/>
  <c r="F309" i="2"/>
  <c r="F310" i="2"/>
  <c r="F311" i="2"/>
  <c r="F312" i="2"/>
  <c r="F313" i="2"/>
  <c r="F316" i="2"/>
  <c r="F317" i="2"/>
  <c r="F318" i="2"/>
  <c r="F319" i="2"/>
  <c r="F320" i="2"/>
  <c r="F321" i="2"/>
  <c r="F322" i="2"/>
  <c r="F323" i="2"/>
  <c r="F324" i="2"/>
  <c r="F327" i="2"/>
  <c r="F328" i="2"/>
  <c r="F329" i="2"/>
  <c r="F330" i="2"/>
  <c r="F331" i="2"/>
  <c r="F332" i="2"/>
  <c r="F333" i="2"/>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7" i="4"/>
  <c r="F5" i="4"/>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7" i="1"/>
  <c r="F5" i="1"/>
  <c r="H11" i="7"/>
  <c r="H12" i="7"/>
  <c r="H15" i="7"/>
  <c r="H17" i="7"/>
  <c r="H25" i="7"/>
  <c r="H26" i="7"/>
  <c r="H27" i="7"/>
  <c r="H30" i="7"/>
  <c r="H31" i="7"/>
  <c r="H32" i="7"/>
  <c r="H35" i="7"/>
  <c r="H36" i="7"/>
  <c r="H38" i="7"/>
  <c r="H42" i="7"/>
  <c r="H43" i="7"/>
  <c r="H46" i="7"/>
  <c r="H48" i="7"/>
  <c r="H56" i="7"/>
  <c r="H57" i="7"/>
  <c r="H58" i="7"/>
  <c r="H61" i="7"/>
  <c r="H62" i="7"/>
  <c r="H63" i="7"/>
  <c r="H66" i="7"/>
  <c r="H67" i="7"/>
  <c r="H68" i="7"/>
  <c r="H69" i="7"/>
  <c r="H71" i="7"/>
  <c r="H75" i="7"/>
  <c r="H76" i="7"/>
  <c r="H77" i="7"/>
  <c r="H80" i="7"/>
  <c r="H81" i="7"/>
  <c r="H83" i="7"/>
  <c r="H87" i="7"/>
  <c r="H88" i="7"/>
  <c r="H89" i="7"/>
  <c r="H92" i="7"/>
  <c r="H93" i="7"/>
  <c r="H94" i="7"/>
  <c r="H96" i="7"/>
  <c r="H99" i="7"/>
  <c r="H100" i="7"/>
  <c r="H101" i="7"/>
  <c r="H108" i="7"/>
  <c r="H110" i="7"/>
  <c r="H113" i="7"/>
  <c r="H114" i="7"/>
  <c r="H115" i="7"/>
  <c r="H117" i="7"/>
  <c r="H118" i="7"/>
  <c r="H119" i="7"/>
  <c r="H8" i="3"/>
  <c r="H10" i="3"/>
  <c r="H13" i="3"/>
  <c r="H14" i="3"/>
  <c r="H15" i="3"/>
  <c r="H17" i="3"/>
  <c r="H19" i="3"/>
  <c r="H20" i="3"/>
  <c r="H21" i="3"/>
  <c r="H23" i="3"/>
  <c r="H24" i="3"/>
  <c r="H25" i="3"/>
  <c r="H27" i="3"/>
  <c r="H28" i="3"/>
  <c r="H29" i="3"/>
  <c r="H31" i="3"/>
  <c r="H33" i="3"/>
  <c r="H35" i="3"/>
  <c r="H36" i="3"/>
  <c r="H37" i="3"/>
  <c r="H39" i="3"/>
  <c r="H40" i="3"/>
  <c r="H41" i="3"/>
  <c r="H44" i="3"/>
  <c r="H49" i="3"/>
  <c r="H50" i="3"/>
  <c r="H51" i="3"/>
  <c r="H53" i="3"/>
  <c r="H54" i="3"/>
  <c r="H55" i="3"/>
  <c r="H59" i="3"/>
  <c r="H62" i="3"/>
  <c r="H67" i="3"/>
  <c r="H68" i="3"/>
  <c r="H69" i="3"/>
  <c r="H71" i="3"/>
  <c r="H72" i="3"/>
  <c r="H73" i="3"/>
  <c r="H77" i="3"/>
  <c r="H78" i="3"/>
  <c r="H79" i="3"/>
  <c r="H81" i="3"/>
  <c r="H85" i="3"/>
  <c r="H86" i="3"/>
  <c r="H87" i="3"/>
  <c r="H90" i="3"/>
  <c r="H92" i="3"/>
  <c r="H96" i="3"/>
  <c r="H97" i="3"/>
  <c r="H98" i="3"/>
  <c r="H101" i="3"/>
  <c r="H103" i="3"/>
  <c r="H107" i="3"/>
  <c r="H108" i="3"/>
  <c r="H109" i="3"/>
  <c r="H112" i="3"/>
  <c r="H113" i="3"/>
  <c r="H114" i="3"/>
  <c r="H115" i="3"/>
  <c r="H118" i="3"/>
  <c r="H119" i="3"/>
  <c r="H120" i="3"/>
  <c r="H121" i="3"/>
  <c r="H124" i="3"/>
  <c r="H125" i="3"/>
  <c r="H126" i="3"/>
  <c r="H128" i="3"/>
  <c r="H130" i="3"/>
  <c r="H131" i="3"/>
  <c r="H132" i="3"/>
  <c r="H134" i="3"/>
  <c r="H135" i="3"/>
  <c r="H137" i="3"/>
  <c r="H139" i="3"/>
  <c r="H141" i="3"/>
  <c r="H142" i="3"/>
  <c r="H143" i="3"/>
  <c r="H145" i="3"/>
  <c r="H146" i="3"/>
  <c r="H148" i="3"/>
  <c r="H150" i="3"/>
  <c r="H152" i="3"/>
  <c r="H153" i="3"/>
  <c r="H154" i="3"/>
  <c r="H156" i="3"/>
  <c r="H157" i="3"/>
  <c r="H159" i="3"/>
  <c r="H160" i="3"/>
  <c r="H161" i="3"/>
  <c r="H163" i="3"/>
  <c r="H167" i="3"/>
  <c r="H168" i="3"/>
  <c r="H169" i="3"/>
  <c r="H172" i="3"/>
  <c r="H173" i="3"/>
  <c r="H175" i="3"/>
  <c r="H177" i="3"/>
  <c r="H178" i="3"/>
  <c r="H179" i="3"/>
  <c r="H182" i="3"/>
  <c r="H183" i="3"/>
  <c r="H184" i="3"/>
  <c r="H187" i="3"/>
  <c r="H191" i="3"/>
  <c r="H192" i="3"/>
  <c r="H193" i="3"/>
  <c r="H196" i="3"/>
  <c r="H197" i="3"/>
  <c r="H198" i="3"/>
  <c r="H200" i="3"/>
  <c r="H206" i="3"/>
  <c r="H207" i="3"/>
  <c r="H208" i="3"/>
  <c r="H211" i="3"/>
  <c r="H212" i="3"/>
  <c r="H213" i="3"/>
  <c r="H216" i="3"/>
  <c r="H217" i="3"/>
  <c r="H218" i="3"/>
  <c r="H219" i="3"/>
  <c r="H221" i="3"/>
  <c r="H226" i="3"/>
  <c r="H227" i="3"/>
  <c r="H228" i="3"/>
  <c r="H231" i="3"/>
  <c r="H232" i="3"/>
  <c r="H233" i="3"/>
  <c r="H236" i="3"/>
  <c r="H237" i="3"/>
  <c r="H238" i="3"/>
  <c r="H239" i="3"/>
  <c r="H242" i="3"/>
  <c r="H243" i="3"/>
  <c r="H244" i="3"/>
  <c r="H247" i="3"/>
  <c r="H248" i="3"/>
  <c r="H249" i="3"/>
  <c r="H251" i="3"/>
  <c r="H254" i="3"/>
  <c r="H255" i="3"/>
  <c r="H256" i="3"/>
  <c r="H259" i="3"/>
  <c r="H260" i="3"/>
  <c r="H261" i="3"/>
  <c r="H263" i="3"/>
  <c r="H264" i="3"/>
  <c r="H271" i="3"/>
  <c r="H272" i="3"/>
  <c r="H273" i="3"/>
  <c r="H276" i="3"/>
  <c r="H277" i="3"/>
  <c r="H278" i="3"/>
  <c r="H280" i="3"/>
  <c r="H284" i="3"/>
  <c r="H285" i="3"/>
  <c r="H286" i="3"/>
  <c r="H289" i="3"/>
  <c r="H290" i="3"/>
  <c r="H291" i="3"/>
  <c r="H293" i="3"/>
  <c r="H302" i="3"/>
  <c r="H303" i="3"/>
  <c r="H304" i="3"/>
  <c r="H307" i="3"/>
  <c r="H308" i="3"/>
  <c r="H309" i="3"/>
  <c r="H310" i="3"/>
  <c r="H311" i="3"/>
  <c r="H312" i="3"/>
  <c r="H313" i="3"/>
  <c r="H314" i="3"/>
  <c r="H315" i="3"/>
  <c r="H318" i="3"/>
  <c r="H319" i="3"/>
  <c r="H320" i="3"/>
  <c r="H321" i="3"/>
  <c r="H322" i="3"/>
  <c r="H323" i="3"/>
  <c r="H324" i="3"/>
  <c r="H325" i="3"/>
  <c r="H326" i="3"/>
  <c r="H8" i="2" l="1"/>
  <c r="H10" i="2"/>
  <c r="H13" i="2"/>
  <c r="H14" i="2"/>
  <c r="H15" i="2"/>
  <c r="H17" i="2"/>
  <c r="H19" i="2"/>
  <c r="H20" i="2"/>
  <c r="H21" i="2"/>
  <c r="H23" i="2"/>
  <c r="H25" i="2"/>
  <c r="H27" i="2"/>
  <c r="H28" i="2"/>
  <c r="H29" i="2"/>
  <c r="H31" i="2"/>
  <c r="H33" i="2"/>
  <c r="H35" i="2"/>
  <c r="H36" i="2"/>
  <c r="H37" i="2"/>
  <c r="H39" i="2"/>
  <c r="H40" i="2"/>
  <c r="H41" i="2"/>
  <c r="H44" i="2"/>
  <c r="H49" i="2"/>
  <c r="H50" i="2"/>
  <c r="H51" i="2"/>
  <c r="H53" i="2"/>
  <c r="H54" i="2"/>
  <c r="H55" i="2"/>
  <c r="H59" i="2"/>
  <c r="H62" i="2"/>
  <c r="H67" i="2"/>
  <c r="H68" i="2"/>
  <c r="H69" i="2"/>
  <c r="H71" i="2"/>
  <c r="H72" i="2"/>
  <c r="H73" i="2"/>
  <c r="H77" i="2"/>
  <c r="H78" i="2"/>
  <c r="H79" i="2"/>
  <c r="H81" i="2"/>
  <c r="H85" i="2"/>
  <c r="H86" i="2"/>
  <c r="H87" i="2"/>
  <c r="H90" i="2"/>
  <c r="H92" i="2"/>
  <c r="H96" i="2"/>
  <c r="H97" i="2"/>
  <c r="H98" i="2"/>
  <c r="H101" i="2"/>
  <c r="H103" i="2"/>
  <c r="H107" i="2"/>
  <c r="H108" i="2"/>
  <c r="H109" i="2"/>
  <c r="H112" i="2"/>
  <c r="H113" i="2"/>
  <c r="H115" i="2"/>
  <c r="H118" i="2"/>
  <c r="H119" i="2"/>
  <c r="H120" i="2"/>
  <c r="H121" i="2"/>
  <c r="H124" i="2"/>
  <c r="H125" i="2"/>
  <c r="H126" i="2"/>
  <c r="H128" i="2"/>
  <c r="H130" i="2"/>
  <c r="H131" i="2"/>
  <c r="H132" i="2"/>
  <c r="H134" i="2"/>
  <c r="H135" i="2"/>
  <c r="H137" i="2"/>
  <c r="H139" i="2"/>
  <c r="H141" i="2"/>
  <c r="H142" i="2"/>
  <c r="H143" i="2"/>
  <c r="H145" i="2"/>
  <c r="H146" i="2"/>
  <c r="H148" i="2"/>
  <c r="H150" i="2"/>
  <c r="H152" i="2"/>
  <c r="H153" i="2"/>
  <c r="H154" i="2"/>
  <c r="H156" i="2"/>
  <c r="H157" i="2"/>
  <c r="H159" i="2"/>
  <c r="H160" i="2"/>
  <c r="H161" i="2"/>
  <c r="H163" i="2"/>
  <c r="H167" i="2"/>
  <c r="H168" i="2"/>
  <c r="H169" i="2"/>
  <c r="H172" i="2"/>
  <c r="H174" i="2"/>
  <c r="H176" i="2"/>
  <c r="H177" i="2"/>
  <c r="H178" i="2"/>
  <c r="H181" i="2"/>
  <c r="H182" i="2"/>
  <c r="H183" i="2"/>
  <c r="H186" i="2"/>
  <c r="H190" i="2"/>
  <c r="H191" i="2"/>
  <c r="H192" i="2"/>
  <c r="H195" i="2"/>
  <c r="H196" i="2"/>
  <c r="H197" i="2"/>
  <c r="H199" i="2"/>
  <c r="H205" i="2"/>
  <c r="H206" i="2"/>
  <c r="H207" i="2"/>
  <c r="H210" i="2"/>
  <c r="H211" i="2"/>
  <c r="H212" i="2"/>
  <c r="H215" i="2"/>
  <c r="H216" i="2"/>
  <c r="H217" i="2"/>
  <c r="H220" i="2"/>
  <c r="H225" i="2"/>
  <c r="H226" i="2"/>
  <c r="H227" i="2"/>
  <c r="H230" i="2"/>
  <c r="H231" i="2"/>
  <c r="H232" i="2"/>
  <c r="H235" i="2"/>
  <c r="H236" i="2"/>
  <c r="H238" i="2"/>
  <c r="H241" i="2"/>
  <c r="H242" i="2"/>
  <c r="H243" i="2"/>
  <c r="H246" i="2"/>
  <c r="H247" i="2"/>
  <c r="H248" i="2"/>
  <c r="H250" i="2"/>
  <c r="H253" i="2"/>
  <c r="H254" i="2"/>
  <c r="H255" i="2"/>
  <c r="H258" i="2"/>
  <c r="H259" i="2"/>
  <c r="H260" i="2"/>
  <c r="H262" i="2"/>
  <c r="H269" i="2"/>
  <c r="H270" i="2"/>
  <c r="H271" i="2"/>
  <c r="H274" i="2"/>
  <c r="H275" i="2"/>
  <c r="H276" i="2"/>
  <c r="H278" i="2"/>
  <c r="H282" i="2"/>
  <c r="H283" i="2"/>
  <c r="H284" i="2"/>
  <c r="H287" i="2"/>
  <c r="H288" i="2"/>
  <c r="H289" i="2"/>
  <c r="H291" i="2"/>
  <c r="H300" i="2"/>
  <c r="H301" i="2"/>
  <c r="H302" i="2"/>
  <c r="H305" i="2"/>
  <c r="H306" i="2"/>
  <c r="H307" i="2"/>
  <c r="H309" i="2"/>
  <c r="H310" i="2"/>
  <c r="H311" i="2"/>
  <c r="H312" i="2"/>
  <c r="H313" i="2"/>
  <c r="H316" i="2"/>
  <c r="H317" i="2"/>
  <c r="H318" i="2"/>
  <c r="H320" i="2"/>
  <c r="H321" i="2"/>
  <c r="H322" i="2"/>
  <c r="H323" i="2"/>
  <c r="H324" i="2"/>
  <c r="H327" i="2"/>
  <c r="H329" i="2"/>
  <c r="H330" i="2"/>
  <c r="H331" i="2"/>
  <c r="H332" i="2"/>
  <c r="H333" i="2"/>
  <c r="H8" i="4"/>
  <c r="H10" i="4"/>
  <c r="H13" i="4"/>
  <c r="H14" i="4"/>
  <c r="H15" i="4"/>
  <c r="H17" i="4"/>
  <c r="H19" i="4"/>
  <c r="H20" i="4"/>
  <c r="H21" i="4"/>
  <c r="H23" i="4"/>
  <c r="H25" i="4"/>
  <c r="H27" i="4"/>
  <c r="H28" i="4"/>
  <c r="H29" i="4"/>
  <c r="H31" i="4"/>
  <c r="H33" i="4"/>
  <c r="H35" i="4"/>
  <c r="H36" i="4"/>
  <c r="H37" i="4"/>
  <c r="H39" i="4"/>
  <c r="H40" i="4"/>
  <c r="H41" i="4"/>
  <c r="H44" i="4"/>
  <c r="H49" i="4"/>
  <c r="H50" i="4"/>
  <c r="H51" i="4"/>
  <c r="H53" i="4"/>
  <c r="H54" i="4"/>
  <c r="H55" i="4"/>
  <c r="H59" i="4"/>
  <c r="H62" i="4"/>
  <c r="H67" i="4"/>
  <c r="H68" i="4"/>
  <c r="H69" i="4"/>
  <c r="H71" i="4"/>
  <c r="H72" i="4"/>
  <c r="H73" i="4"/>
  <c r="H77" i="4"/>
  <c r="H78" i="4"/>
  <c r="H79" i="4"/>
  <c r="H81" i="4"/>
  <c r="H85" i="4"/>
  <c r="H86" i="4"/>
  <c r="H87" i="4"/>
  <c r="H90" i="4"/>
  <c r="H92" i="4"/>
  <c r="H96" i="4"/>
  <c r="H97" i="4"/>
  <c r="H98" i="4"/>
  <c r="H101" i="4"/>
  <c r="H103" i="4"/>
  <c r="H107" i="4"/>
  <c r="H108" i="4"/>
  <c r="H109" i="4"/>
  <c r="H112" i="4"/>
  <c r="H113" i="4"/>
  <c r="H115" i="4"/>
  <c r="H118" i="4"/>
  <c r="H119" i="4"/>
  <c r="H120" i="4"/>
  <c r="H121" i="4"/>
  <c r="H124" i="4"/>
  <c r="H125" i="4"/>
  <c r="H126" i="4"/>
  <c r="H128" i="4"/>
  <c r="H130" i="4"/>
  <c r="H131" i="4"/>
  <c r="H132" i="4"/>
  <c r="H134" i="4"/>
  <c r="H135" i="4"/>
  <c r="H137" i="4"/>
  <c r="H139" i="4"/>
  <c r="H141" i="4"/>
  <c r="H142" i="4"/>
  <c r="H143" i="4"/>
  <c r="H145" i="4"/>
  <c r="H146" i="4"/>
  <c r="H148" i="4"/>
  <c r="H150" i="4"/>
  <c r="H152" i="4"/>
  <c r="H153" i="4"/>
  <c r="H154" i="4"/>
  <c r="H156" i="4"/>
  <c r="H157" i="4"/>
  <c r="H159" i="4"/>
  <c r="H160" i="4"/>
  <c r="H161" i="4"/>
  <c r="H163" i="4"/>
  <c r="H167" i="4"/>
  <c r="H168" i="4"/>
  <c r="H169" i="4"/>
  <c r="H172" i="4"/>
  <c r="H174" i="4"/>
  <c r="H176" i="4"/>
  <c r="H177" i="4"/>
  <c r="H178" i="4"/>
  <c r="H181" i="4"/>
  <c r="H182" i="4"/>
  <c r="H183" i="4"/>
  <c r="H184" i="4"/>
  <c r="H185" i="4"/>
  <c r="H188" i="4"/>
  <c r="H192" i="4"/>
  <c r="H193" i="4"/>
  <c r="H194" i="4"/>
  <c r="H197" i="4"/>
  <c r="H198" i="4"/>
  <c r="H199" i="4"/>
  <c r="H201" i="4"/>
  <c r="H207" i="4"/>
  <c r="H208" i="4"/>
  <c r="H209" i="4"/>
  <c r="H212" i="4"/>
  <c r="H213" i="4"/>
  <c r="H214" i="4"/>
  <c r="H217" i="4"/>
  <c r="H218" i="4"/>
  <c r="H219" i="4"/>
  <c r="H222" i="4"/>
  <c r="H227" i="4"/>
  <c r="H228" i="4"/>
  <c r="H229" i="4"/>
  <c r="H232" i="4"/>
  <c r="H233" i="4"/>
  <c r="H234" i="4"/>
  <c r="H237" i="4"/>
  <c r="H238" i="4"/>
  <c r="H240" i="4"/>
  <c r="H243" i="4"/>
  <c r="H244" i="4"/>
  <c r="H245" i="4"/>
  <c r="H248" i="4"/>
  <c r="H249" i="4"/>
  <c r="H250" i="4"/>
  <c r="H252" i="4"/>
  <c r="H255" i="4"/>
  <c r="H256" i="4"/>
  <c r="H257" i="4"/>
  <c r="H260" i="4"/>
  <c r="H261" i="4"/>
  <c r="H262" i="4"/>
  <c r="H264" i="4"/>
  <c r="H271" i="4"/>
  <c r="H272" i="4"/>
  <c r="H273" i="4"/>
  <c r="H276" i="4"/>
  <c r="H277" i="4"/>
  <c r="H278" i="4"/>
  <c r="H280" i="4"/>
  <c r="H284" i="4"/>
  <c r="H285" i="4"/>
  <c r="H286" i="4"/>
  <c r="H289" i="4"/>
  <c r="H290" i="4"/>
  <c r="H291" i="4"/>
  <c r="H293" i="4"/>
  <c r="H302" i="4"/>
  <c r="H303" i="4"/>
  <c r="H304" i="4"/>
  <c r="H307" i="4"/>
  <c r="H308" i="4"/>
  <c r="H309" i="4"/>
  <c r="H311" i="4"/>
  <c r="H312" i="4"/>
  <c r="H313" i="4"/>
  <c r="H314" i="4"/>
  <c r="H315" i="4"/>
  <c r="H318" i="4"/>
  <c r="H319" i="4"/>
  <c r="H320" i="4"/>
  <c r="H322" i="4"/>
  <c r="H324" i="4"/>
  <c r="H325" i="4"/>
  <c r="H326" i="4"/>
  <c r="H8" i="6" l="1"/>
  <c r="H10" i="6"/>
  <c r="H13" i="6"/>
  <c r="H14" i="6"/>
  <c r="H15" i="6"/>
  <c r="H17" i="6"/>
  <c r="H19" i="6"/>
  <c r="H20" i="6"/>
  <c r="H21" i="6"/>
  <c r="H23" i="6"/>
  <c r="H24" i="6"/>
  <c r="H25" i="6"/>
  <c r="H27" i="6"/>
  <c r="H28" i="6"/>
  <c r="H29" i="6"/>
  <c r="H31" i="6"/>
  <c r="H33" i="6"/>
  <c r="H35" i="6"/>
  <c r="H36" i="6"/>
  <c r="H37" i="6"/>
  <c r="H39" i="6"/>
  <c r="H40" i="6"/>
  <c r="H41" i="6"/>
  <c r="H44" i="6"/>
  <c r="H49" i="6"/>
  <c r="H50" i="6"/>
  <c r="H51" i="6"/>
  <c r="H53" i="6"/>
  <c r="H54" i="6"/>
  <c r="H55" i="6"/>
  <c r="H59" i="6"/>
  <c r="H62" i="6"/>
  <c r="H67" i="6"/>
  <c r="H68" i="6"/>
  <c r="H69" i="6"/>
  <c r="H71" i="6"/>
  <c r="H72" i="6"/>
  <c r="H73" i="6"/>
  <c r="H77" i="6"/>
  <c r="H78" i="6"/>
  <c r="H79" i="6"/>
  <c r="H81" i="6"/>
  <c r="H85" i="6"/>
  <c r="H86" i="6"/>
  <c r="H87" i="6"/>
  <c r="H90" i="6"/>
  <c r="H92" i="6"/>
  <c r="H96" i="6"/>
  <c r="H97" i="6"/>
  <c r="H98" i="6"/>
  <c r="H101" i="6"/>
  <c r="H103" i="6"/>
  <c r="H107" i="6"/>
  <c r="H108" i="6"/>
  <c r="H109" i="6"/>
  <c r="H112" i="6"/>
  <c r="H113" i="6"/>
  <c r="H114" i="6"/>
  <c r="H115" i="6"/>
  <c r="H118" i="6"/>
  <c r="H119" i="6"/>
  <c r="H120" i="6"/>
  <c r="H121" i="6"/>
  <c r="H124" i="6"/>
  <c r="H125" i="6"/>
  <c r="H126" i="6"/>
  <c r="H128" i="6"/>
  <c r="H130" i="6"/>
  <c r="H131" i="6"/>
  <c r="H132" i="6"/>
  <c r="H134" i="6"/>
  <c r="H135" i="6"/>
  <c r="H137" i="6"/>
  <c r="H139" i="6"/>
  <c r="H141" i="6"/>
  <c r="H142" i="6"/>
  <c r="H143" i="6"/>
  <c r="H145" i="6"/>
  <c r="H146" i="6"/>
  <c r="H148" i="6"/>
  <c r="H150" i="6"/>
  <c r="H152" i="6"/>
  <c r="H153" i="6"/>
  <c r="H154" i="6"/>
  <c r="H156" i="6"/>
  <c r="H157" i="6"/>
  <c r="H159" i="6"/>
  <c r="H160" i="6"/>
  <c r="H161" i="6"/>
  <c r="H163" i="6"/>
  <c r="H167" i="6"/>
  <c r="H168" i="6"/>
  <c r="H169" i="6"/>
  <c r="H172" i="6"/>
  <c r="H174" i="6"/>
  <c r="H176" i="6"/>
  <c r="H177" i="6"/>
  <c r="H178" i="6"/>
  <c r="H181" i="6"/>
  <c r="H182" i="6"/>
  <c r="H183" i="6"/>
  <c r="H186" i="6"/>
  <c r="H190" i="6"/>
  <c r="H191" i="6"/>
  <c r="H192" i="6"/>
  <c r="H195" i="6"/>
  <c r="H196" i="6"/>
  <c r="H197" i="6"/>
  <c r="H199" i="6"/>
  <c r="H205" i="6"/>
  <c r="H206" i="6"/>
  <c r="H207" i="6"/>
  <c r="H210" i="6"/>
  <c r="H211" i="6"/>
  <c r="H212" i="6"/>
  <c r="H215" i="6"/>
  <c r="H216" i="6"/>
  <c r="H217" i="6"/>
  <c r="H218" i="6"/>
  <c r="H220" i="6"/>
  <c r="H225" i="6"/>
  <c r="H226" i="6"/>
  <c r="H227" i="6"/>
  <c r="H230" i="6"/>
  <c r="H231" i="6"/>
  <c r="H232" i="6"/>
  <c r="H235" i="6"/>
  <c r="H236" i="6"/>
  <c r="H237" i="6"/>
  <c r="H238" i="6"/>
  <c r="H241" i="6"/>
  <c r="H242" i="6"/>
  <c r="H243" i="6"/>
  <c r="H246" i="6"/>
  <c r="H247" i="6"/>
  <c r="H248" i="6"/>
  <c r="H250" i="6"/>
  <c r="H253" i="6"/>
  <c r="H254" i="6"/>
  <c r="H255" i="6"/>
  <c r="H258" i="6"/>
  <c r="H259" i="6"/>
  <c r="H260" i="6"/>
  <c r="H262" i="6"/>
  <c r="H269" i="6"/>
  <c r="H270" i="6"/>
  <c r="H271" i="6"/>
  <c r="H274" i="6"/>
  <c r="H275" i="6"/>
  <c r="H276" i="6"/>
  <c r="H278" i="6"/>
  <c r="H282" i="6"/>
  <c r="H283" i="6"/>
  <c r="H284" i="6"/>
  <c r="H287" i="6"/>
  <c r="H288" i="6"/>
  <c r="H289" i="6"/>
  <c r="H291" i="6"/>
  <c r="H300" i="6"/>
  <c r="H301" i="6"/>
  <c r="H302" i="6"/>
  <c r="H305" i="6"/>
  <c r="H306" i="6"/>
  <c r="H307" i="6"/>
  <c r="H308" i="6"/>
  <c r="H309" i="6"/>
  <c r="H311" i="6"/>
  <c r="H312" i="6"/>
  <c r="H313" i="6"/>
  <c r="H316" i="6"/>
  <c r="H317" i="6"/>
  <c r="H318" i="6"/>
  <c r="H319" i="6"/>
  <c r="H320" i="6"/>
  <c r="H321" i="6"/>
  <c r="H322" i="6"/>
  <c r="H323" i="6"/>
  <c r="H324" i="6"/>
  <c r="J7" i="7" l="1"/>
  <c r="J11" i="7"/>
  <c r="J12" i="7"/>
  <c r="J15" i="7"/>
  <c r="J17" i="7"/>
  <c r="J25" i="7"/>
  <c r="J26" i="7"/>
  <c r="J27" i="7"/>
  <c r="J30" i="7"/>
  <c r="J31" i="7"/>
  <c r="J32" i="7"/>
  <c r="J35" i="7"/>
  <c r="J36" i="7"/>
  <c r="J38" i="7"/>
  <c r="J42" i="7"/>
  <c r="J43" i="7"/>
  <c r="J46" i="7"/>
  <c r="J48" i="7"/>
  <c r="J56" i="7"/>
  <c r="J57" i="7"/>
  <c r="J58" i="7"/>
  <c r="J61" i="7"/>
  <c r="J62" i="7"/>
  <c r="J63" i="7"/>
  <c r="J66" i="7"/>
  <c r="J67" i="7"/>
  <c r="J68" i="7"/>
  <c r="J69" i="7"/>
  <c r="J71" i="7"/>
  <c r="J75" i="7"/>
  <c r="J76" i="7"/>
  <c r="J77" i="7"/>
  <c r="J80" i="7"/>
  <c r="J81" i="7"/>
  <c r="J83" i="7"/>
  <c r="J87" i="7"/>
  <c r="J88" i="7"/>
  <c r="J89" i="7"/>
  <c r="J92" i="7"/>
  <c r="J93" i="7"/>
  <c r="J94" i="7"/>
  <c r="J96" i="7"/>
  <c r="J99" i="7"/>
  <c r="J100" i="7"/>
  <c r="J101" i="7"/>
  <c r="J108" i="7"/>
  <c r="J110" i="7"/>
  <c r="J113" i="7"/>
  <c r="J114" i="7"/>
  <c r="J115" i="7"/>
  <c r="J117" i="7"/>
  <c r="J118" i="7"/>
  <c r="J119" i="7"/>
  <c r="J6" i="3"/>
  <c r="J8" i="3"/>
  <c r="J10" i="3"/>
  <c r="J13" i="3"/>
  <c r="J14" i="3"/>
  <c r="J15" i="3"/>
  <c r="J17" i="3"/>
  <c r="J19" i="3"/>
  <c r="J20" i="3"/>
  <c r="J21" i="3"/>
  <c r="J23" i="3"/>
  <c r="J24" i="3"/>
  <c r="J25" i="3"/>
  <c r="J27" i="3"/>
  <c r="J28" i="3"/>
  <c r="J29" i="3"/>
  <c r="J31" i="3"/>
  <c r="J33" i="3"/>
  <c r="J35" i="3"/>
  <c r="J36" i="3"/>
  <c r="J37" i="3"/>
  <c r="J39" i="3"/>
  <c r="J40" i="3"/>
  <c r="J41" i="3"/>
  <c r="J44" i="3"/>
  <c r="J49" i="3"/>
  <c r="J50" i="3"/>
  <c r="J51" i="3"/>
  <c r="J53" i="3"/>
  <c r="J54" i="3"/>
  <c r="J55" i="3"/>
  <c r="J59" i="3"/>
  <c r="J62" i="3"/>
  <c r="J67" i="3"/>
  <c r="J68" i="3"/>
  <c r="J69" i="3"/>
  <c r="J71" i="3"/>
  <c r="J72" i="3"/>
  <c r="J73" i="3"/>
  <c r="J77" i="3"/>
  <c r="J78" i="3"/>
  <c r="J79" i="3"/>
  <c r="J81" i="3"/>
  <c r="J85" i="3"/>
  <c r="J86" i="3"/>
  <c r="J87" i="3"/>
  <c r="J90" i="3"/>
  <c r="J92" i="3"/>
  <c r="J96" i="3"/>
  <c r="J97" i="3"/>
  <c r="J98" i="3"/>
  <c r="J101" i="3"/>
  <c r="J103" i="3"/>
  <c r="J107" i="3"/>
  <c r="J108" i="3"/>
  <c r="J109" i="3"/>
  <c r="J112" i="3"/>
  <c r="J113" i="3"/>
  <c r="J114" i="3"/>
  <c r="J115" i="3"/>
  <c r="J118" i="3"/>
  <c r="J119" i="3"/>
  <c r="J120" i="3"/>
  <c r="J121" i="3"/>
  <c r="J124" i="3"/>
  <c r="J125" i="3"/>
  <c r="J126" i="3"/>
  <c r="J128" i="3"/>
  <c r="J130" i="3"/>
  <c r="J131" i="3"/>
  <c r="J132" i="3"/>
  <c r="J134" i="3"/>
  <c r="J135" i="3"/>
  <c r="J137" i="3"/>
  <c r="J139" i="3"/>
  <c r="J141" i="3"/>
  <c r="J142" i="3"/>
  <c r="J143" i="3"/>
  <c r="J145" i="3"/>
  <c r="J146" i="3"/>
  <c r="J148" i="3"/>
  <c r="J150" i="3"/>
  <c r="J152" i="3"/>
  <c r="J153" i="3"/>
  <c r="J154" i="3"/>
  <c r="J156" i="3"/>
  <c r="J157" i="3"/>
  <c r="J159" i="3"/>
  <c r="J160" i="3"/>
  <c r="J161" i="3"/>
  <c r="J163" i="3"/>
  <c r="J167" i="3"/>
  <c r="J168" i="3"/>
  <c r="J169" i="3"/>
  <c r="J172" i="3"/>
  <c r="J173" i="3"/>
  <c r="J175" i="3"/>
  <c r="J177" i="3"/>
  <c r="J178" i="3"/>
  <c r="J179" i="3"/>
  <c r="J182" i="3"/>
  <c r="J183" i="3"/>
  <c r="J184" i="3"/>
  <c r="J187" i="3"/>
  <c r="J191" i="3"/>
  <c r="J192" i="3"/>
  <c r="J193" i="3"/>
  <c r="J196" i="3"/>
  <c r="J197" i="3"/>
  <c r="J198" i="3"/>
  <c r="J200" i="3"/>
  <c r="J206" i="3"/>
  <c r="J207" i="3"/>
  <c r="J208" i="3"/>
  <c r="J211" i="3"/>
  <c r="J212" i="3"/>
  <c r="J213" i="3"/>
  <c r="J216" i="3"/>
  <c r="J217" i="3"/>
  <c r="J218" i="3"/>
  <c r="J219" i="3"/>
  <c r="J221" i="3"/>
  <c r="J226" i="3"/>
  <c r="J227" i="3"/>
  <c r="J228" i="3"/>
  <c r="J231" i="3"/>
  <c r="J232" i="3"/>
  <c r="J233" i="3"/>
  <c r="J236" i="3"/>
  <c r="J237" i="3"/>
  <c r="J238" i="3"/>
  <c r="J239" i="3"/>
  <c r="J242" i="3"/>
  <c r="J243" i="3"/>
  <c r="J244" i="3"/>
  <c r="J247" i="3"/>
  <c r="J248" i="3"/>
  <c r="J249" i="3"/>
  <c r="J251" i="3"/>
  <c r="J254" i="3"/>
  <c r="J255" i="3"/>
  <c r="J256" i="3"/>
  <c r="J259" i="3"/>
  <c r="J260" i="3"/>
  <c r="J261" i="3"/>
  <c r="J263" i="3"/>
  <c r="J264" i="3"/>
  <c r="J271" i="3"/>
  <c r="J272" i="3"/>
  <c r="J273" i="3"/>
  <c r="J276" i="3"/>
  <c r="J277" i="3"/>
  <c r="J278" i="3"/>
  <c r="J280" i="3"/>
  <c r="J284" i="3"/>
  <c r="J285" i="3"/>
  <c r="J286" i="3"/>
  <c r="J289" i="3"/>
  <c r="J290" i="3"/>
  <c r="J291" i="3"/>
  <c r="J293" i="3"/>
  <c r="J302" i="3"/>
  <c r="J303" i="3"/>
  <c r="J304" i="3"/>
  <c r="J307" i="3"/>
  <c r="J308" i="3"/>
  <c r="J309" i="3"/>
  <c r="J310" i="3"/>
  <c r="J311" i="3"/>
  <c r="J312" i="3"/>
  <c r="J313" i="3"/>
  <c r="J314" i="3"/>
  <c r="J315" i="3"/>
  <c r="J318" i="3"/>
  <c r="J319" i="3"/>
  <c r="J320" i="3"/>
  <c r="J321" i="3"/>
  <c r="J322" i="3"/>
  <c r="J323" i="3"/>
  <c r="J324" i="3"/>
  <c r="J325" i="3"/>
  <c r="J326" i="3"/>
  <c r="J6" i="5"/>
  <c r="J8" i="5"/>
  <c r="J10" i="5"/>
  <c r="J13" i="5"/>
  <c r="J14" i="5"/>
  <c r="J15" i="5"/>
  <c r="J17" i="5"/>
  <c r="J19" i="5"/>
  <c r="J20" i="5"/>
  <c r="J21" i="5"/>
  <c r="J23" i="5"/>
  <c r="J25" i="5"/>
  <c r="J27" i="5"/>
  <c r="J28" i="5"/>
  <c r="J29" i="5"/>
  <c r="J31" i="5"/>
  <c r="J24" i="5" s="1"/>
  <c r="J33" i="5"/>
  <c r="J35" i="5"/>
  <c r="J36" i="5"/>
  <c r="J37" i="5"/>
  <c r="J39" i="5"/>
  <c r="J40" i="5"/>
  <c r="J41" i="5"/>
  <c r="J44" i="5"/>
  <c r="J49" i="5"/>
  <c r="J50" i="5"/>
  <c r="J51" i="5"/>
  <c r="J53" i="5"/>
  <c r="J54" i="5"/>
  <c r="J55" i="5"/>
  <c r="J59" i="5"/>
  <c r="J62" i="5"/>
  <c r="J67" i="5"/>
  <c r="J68" i="5"/>
  <c r="J69" i="5"/>
  <c r="J71" i="5"/>
  <c r="J72" i="5"/>
  <c r="J73" i="5"/>
  <c r="J77" i="5"/>
  <c r="J78" i="5"/>
  <c r="J79" i="5"/>
  <c r="J81" i="5"/>
  <c r="J85" i="5"/>
  <c r="J86" i="5"/>
  <c r="J87" i="5"/>
  <c r="J90" i="5"/>
  <c r="J92" i="5"/>
  <c r="J96" i="5"/>
  <c r="J97" i="5"/>
  <c r="J98" i="5"/>
  <c r="J101" i="5"/>
  <c r="J103" i="5"/>
  <c r="J107" i="5"/>
  <c r="J108" i="5"/>
  <c r="J109" i="5"/>
  <c r="J112" i="5"/>
  <c r="J113" i="5"/>
  <c r="J114" i="5"/>
  <c r="J115" i="5"/>
  <c r="J118" i="5"/>
  <c r="J119" i="5"/>
  <c r="J120" i="5"/>
  <c r="J121" i="5"/>
  <c r="J124" i="5"/>
  <c r="J125" i="5"/>
  <c r="J126" i="5"/>
  <c r="J128" i="5"/>
  <c r="J130" i="5"/>
  <c r="J131" i="5"/>
  <c r="J132" i="5"/>
  <c r="J134" i="5"/>
  <c r="J135" i="5"/>
  <c r="J137" i="5"/>
  <c r="J139" i="5"/>
  <c r="J141" i="5"/>
  <c r="J142" i="5"/>
  <c r="J143" i="5"/>
  <c r="J145" i="5"/>
  <c r="J146" i="5"/>
  <c r="J148" i="5"/>
  <c r="J150" i="5"/>
  <c r="J152" i="5"/>
  <c r="J153" i="5"/>
  <c r="J154" i="5"/>
  <c r="J156" i="5"/>
  <c r="J157" i="5"/>
  <c r="J159" i="5"/>
  <c r="J160" i="5"/>
  <c r="J161" i="5"/>
  <c r="J163" i="5"/>
  <c r="J167" i="5"/>
  <c r="J168" i="5"/>
  <c r="J169" i="5"/>
  <c r="J172" i="5"/>
  <c r="J174" i="5"/>
  <c r="J176" i="5"/>
  <c r="J177" i="5"/>
  <c r="J178" i="5"/>
  <c r="J181" i="5"/>
  <c r="J182" i="5"/>
  <c r="J183" i="5"/>
  <c r="J186" i="5"/>
  <c r="J190" i="5"/>
  <c r="J191" i="5"/>
  <c r="J192" i="5"/>
  <c r="J195" i="5"/>
  <c r="J196" i="5"/>
  <c r="J197" i="5"/>
  <c r="J199" i="5"/>
  <c r="J205" i="5"/>
  <c r="J206" i="5"/>
  <c r="J207" i="5"/>
  <c r="J210" i="5"/>
  <c r="J211" i="5"/>
  <c r="J212" i="5"/>
  <c r="J215" i="5"/>
  <c r="J216" i="5"/>
  <c r="J217" i="5"/>
  <c r="J220" i="5"/>
  <c r="J225" i="5"/>
  <c r="J226" i="5"/>
  <c r="J227" i="5"/>
  <c r="J230" i="5"/>
  <c r="J231" i="5"/>
  <c r="J232" i="5"/>
  <c r="J235" i="5"/>
  <c r="J236" i="5"/>
  <c r="J237" i="5"/>
  <c r="J238" i="5"/>
  <c r="J241" i="5"/>
  <c r="J242" i="5"/>
  <c r="J243" i="5"/>
  <c r="J246" i="5"/>
  <c r="J247" i="5"/>
  <c r="J248" i="5"/>
  <c r="J250" i="5"/>
  <c r="J253" i="5"/>
  <c r="J254" i="5"/>
  <c r="J255" i="5"/>
  <c r="J258" i="5"/>
  <c r="J259" i="5"/>
  <c r="J260" i="5"/>
  <c r="J262" i="5"/>
  <c r="J263" i="5"/>
  <c r="J270" i="5"/>
  <c r="J271" i="5"/>
  <c r="J272" i="5"/>
  <c r="J275" i="5"/>
  <c r="J276" i="5"/>
  <c r="J277" i="5"/>
  <c r="J279" i="5"/>
  <c r="J283" i="5"/>
  <c r="J284" i="5"/>
  <c r="J285" i="5"/>
  <c r="J288" i="5"/>
  <c r="J289" i="5"/>
  <c r="J290" i="5"/>
  <c r="J292" i="5"/>
  <c r="J301" i="5"/>
  <c r="J302" i="5"/>
  <c r="J303" i="5"/>
  <c r="J306" i="5"/>
  <c r="J307" i="5"/>
  <c r="J308" i="5"/>
  <c r="J309" i="5"/>
  <c r="J310" i="5"/>
  <c r="J311" i="5"/>
  <c r="J312" i="5"/>
  <c r="J313" i="5"/>
  <c r="J314" i="5"/>
  <c r="J317" i="5"/>
  <c r="J318" i="5"/>
  <c r="J319" i="5"/>
  <c r="J320" i="5"/>
  <c r="J321" i="5"/>
  <c r="J322" i="5"/>
  <c r="J323" i="5"/>
  <c r="J324" i="5"/>
  <c r="J325" i="5"/>
  <c r="J328" i="5"/>
  <c r="J330" i="5"/>
  <c r="J331" i="5"/>
  <c r="J332" i="5"/>
  <c r="J333" i="5"/>
  <c r="J334" i="5"/>
  <c r="J337" i="5"/>
  <c r="J340" i="5"/>
  <c r="J346" i="5"/>
  <c r="J347" i="5"/>
  <c r="J348" i="5"/>
  <c r="J6" i="4"/>
  <c r="J8" i="4"/>
  <c r="J10" i="4"/>
  <c r="J13" i="4"/>
  <c r="J14" i="4"/>
  <c r="J15" i="4"/>
  <c r="J17" i="4"/>
  <c r="J19" i="4"/>
  <c r="J20" i="4"/>
  <c r="J21" i="4"/>
  <c r="J23" i="4"/>
  <c r="J24" i="4"/>
  <c r="J25" i="4"/>
  <c r="J27" i="4"/>
  <c r="J28" i="4"/>
  <c r="J29" i="4"/>
  <c r="J31" i="4"/>
  <c r="J33" i="4"/>
  <c r="J35" i="4"/>
  <c r="J36" i="4"/>
  <c r="J37" i="4"/>
  <c r="J39" i="4"/>
  <c r="J40" i="4"/>
  <c r="J41" i="4"/>
  <c r="J44" i="4"/>
  <c r="J49" i="4"/>
  <c r="J50" i="4"/>
  <c r="J51" i="4"/>
  <c r="J53" i="4"/>
  <c r="J54" i="4"/>
  <c r="J55" i="4"/>
  <c r="J59" i="4"/>
  <c r="J62" i="4"/>
  <c r="J67" i="4"/>
  <c r="J68" i="4"/>
  <c r="J69" i="4"/>
  <c r="J71" i="4"/>
  <c r="J72" i="4"/>
  <c r="J73" i="4"/>
  <c r="J77" i="4"/>
  <c r="J78" i="4"/>
  <c r="J79" i="4"/>
  <c r="J81" i="4"/>
  <c r="J85" i="4"/>
  <c r="J86" i="4"/>
  <c r="J87" i="4"/>
  <c r="J90" i="4"/>
  <c r="J92" i="4"/>
  <c r="J96" i="4"/>
  <c r="J97" i="4"/>
  <c r="J98" i="4"/>
  <c r="J101" i="4"/>
  <c r="J103" i="4"/>
  <c r="J107" i="4"/>
  <c r="J108" i="4"/>
  <c r="J109" i="4"/>
  <c r="J112" i="4"/>
  <c r="J113" i="4"/>
  <c r="J114" i="4"/>
  <c r="J115" i="4"/>
  <c r="J118" i="4"/>
  <c r="J119" i="4"/>
  <c r="J120" i="4"/>
  <c r="J121" i="4"/>
  <c r="J124" i="4"/>
  <c r="J125" i="4"/>
  <c r="J126" i="4"/>
  <c r="J128" i="4"/>
  <c r="J130" i="4"/>
  <c r="J131" i="4"/>
  <c r="J132" i="4"/>
  <c r="J134" i="4"/>
  <c r="J135" i="4"/>
  <c r="J137" i="4"/>
  <c r="J139" i="4"/>
  <c r="J141" i="4"/>
  <c r="J142" i="4"/>
  <c r="J143" i="4"/>
  <c r="J145" i="4"/>
  <c r="J146" i="4"/>
  <c r="J148" i="4"/>
  <c r="J150" i="4"/>
  <c r="J152" i="4"/>
  <c r="J153" i="4"/>
  <c r="J154" i="4"/>
  <c r="J156" i="4"/>
  <c r="J157" i="4"/>
  <c r="J159" i="4"/>
  <c r="J160" i="4"/>
  <c r="J161" i="4"/>
  <c r="J163" i="4"/>
  <c r="J167" i="4"/>
  <c r="J168" i="4"/>
  <c r="J169" i="4"/>
  <c r="J172" i="4"/>
  <c r="J174" i="4"/>
  <c r="J176" i="4"/>
  <c r="J177" i="4"/>
  <c r="J178" i="4"/>
  <c r="J181" i="4"/>
  <c r="J182" i="4"/>
  <c r="J183" i="4"/>
  <c r="J184" i="4"/>
  <c r="J185" i="4"/>
  <c r="J188" i="4"/>
  <c r="J192" i="4"/>
  <c r="J193" i="4"/>
  <c r="J194" i="4"/>
  <c r="J197" i="4"/>
  <c r="J198" i="4"/>
  <c r="J199" i="4"/>
  <c r="J201" i="4"/>
  <c r="J207" i="4"/>
  <c r="J208" i="4"/>
  <c r="J209" i="4"/>
  <c r="J212" i="4"/>
  <c r="J213" i="4"/>
  <c r="J214" i="4"/>
  <c r="J217" i="4"/>
  <c r="J218" i="4"/>
  <c r="J219" i="4"/>
  <c r="J220" i="4"/>
  <c r="J222" i="4"/>
  <c r="J227" i="4"/>
  <c r="J228" i="4"/>
  <c r="J229" i="4"/>
  <c r="J232" i="4"/>
  <c r="J233" i="4"/>
  <c r="J234" i="4"/>
  <c r="J237" i="4"/>
  <c r="J238" i="4"/>
  <c r="J239" i="4"/>
  <c r="J240" i="4"/>
  <c r="J243" i="4"/>
  <c r="J244" i="4"/>
  <c r="J245" i="4"/>
  <c r="J248" i="4"/>
  <c r="J249" i="4"/>
  <c r="J250" i="4"/>
  <c r="J252" i="4"/>
  <c r="J255" i="4"/>
  <c r="J256" i="4"/>
  <c r="J257" i="4"/>
  <c r="J260" i="4"/>
  <c r="J261" i="4"/>
  <c r="J262" i="4"/>
  <c r="J264" i="4"/>
  <c r="J271" i="4"/>
  <c r="J272" i="4"/>
  <c r="J273" i="4"/>
  <c r="J276" i="4"/>
  <c r="J277" i="4"/>
  <c r="J278" i="4"/>
  <c r="J280" i="4"/>
  <c r="J284" i="4"/>
  <c r="J285" i="4"/>
  <c r="J286" i="4"/>
  <c r="J289" i="4"/>
  <c r="J290" i="4"/>
  <c r="J291" i="4"/>
  <c r="J293" i="4"/>
  <c r="J302" i="4"/>
  <c r="J303" i="4"/>
  <c r="J304" i="4"/>
  <c r="J307" i="4"/>
  <c r="J308" i="4"/>
  <c r="J309" i="4"/>
  <c r="J310" i="4"/>
  <c r="J311" i="4"/>
  <c r="J312" i="4"/>
  <c r="J313" i="4"/>
  <c r="J314" i="4"/>
  <c r="J315" i="4"/>
  <c r="J318" i="4"/>
  <c r="J319" i="4"/>
  <c r="J320" i="4"/>
  <c r="J321" i="4"/>
  <c r="J322" i="4"/>
  <c r="J324" i="4"/>
  <c r="J325" i="4"/>
  <c r="J326" i="4"/>
  <c r="J6" i="6"/>
  <c r="J8" i="6"/>
  <c r="J10" i="6"/>
  <c r="J13" i="6"/>
  <c r="J14" i="6"/>
  <c r="J15" i="6"/>
  <c r="J17" i="6"/>
  <c r="J19" i="6"/>
  <c r="J20" i="6"/>
  <c r="J21" i="6"/>
  <c r="J23" i="6"/>
  <c r="J24" i="6"/>
  <c r="J25" i="6"/>
  <c r="J27" i="6"/>
  <c r="J28" i="6"/>
  <c r="J29" i="6"/>
  <c r="J31" i="6"/>
  <c r="J33" i="6"/>
  <c r="J35" i="6"/>
  <c r="J36" i="6"/>
  <c r="J37" i="6"/>
  <c r="J39" i="6"/>
  <c r="J40" i="6"/>
  <c r="J41" i="6"/>
  <c r="J44" i="6"/>
  <c r="J49" i="6"/>
  <c r="J50" i="6"/>
  <c r="J51" i="6"/>
  <c r="J53" i="6"/>
  <c r="J54" i="6"/>
  <c r="J55" i="6"/>
  <c r="J59" i="6"/>
  <c r="J62" i="6"/>
  <c r="J67" i="6"/>
  <c r="J68" i="6"/>
  <c r="J69" i="6"/>
  <c r="J71" i="6"/>
  <c r="J72" i="6"/>
  <c r="J73" i="6"/>
  <c r="J77" i="6"/>
  <c r="J78" i="6"/>
  <c r="J79" i="6"/>
  <c r="J81" i="6"/>
  <c r="J85" i="6"/>
  <c r="J86" i="6"/>
  <c r="J87" i="6"/>
  <c r="J90" i="6"/>
  <c r="J92" i="6"/>
  <c r="J96" i="6"/>
  <c r="J97" i="6"/>
  <c r="J98" i="6"/>
  <c r="J101" i="6"/>
  <c r="J103" i="6"/>
  <c r="J107" i="6"/>
  <c r="J108" i="6"/>
  <c r="J109" i="6"/>
  <c r="J112" i="6"/>
  <c r="J113" i="6"/>
  <c r="J114" i="6"/>
  <c r="J115" i="6"/>
  <c r="J118" i="6"/>
  <c r="J119" i="6"/>
  <c r="J120" i="6"/>
  <c r="J121" i="6"/>
  <c r="J124" i="6"/>
  <c r="J125" i="6"/>
  <c r="J126" i="6"/>
  <c r="J128" i="6"/>
  <c r="J130" i="6"/>
  <c r="J131" i="6"/>
  <c r="J132" i="6"/>
  <c r="J134" i="6"/>
  <c r="J135" i="6"/>
  <c r="J137" i="6"/>
  <c r="J139" i="6"/>
  <c r="J141" i="6"/>
  <c r="J142" i="6"/>
  <c r="J143" i="6"/>
  <c r="J145" i="6"/>
  <c r="J146" i="6"/>
  <c r="J148" i="6"/>
  <c r="J150" i="6"/>
  <c r="J152" i="6"/>
  <c r="J153" i="6"/>
  <c r="J154" i="6"/>
  <c r="J156" i="6"/>
  <c r="J157" i="6"/>
  <c r="J159" i="6"/>
  <c r="J160" i="6"/>
  <c r="J161" i="6"/>
  <c r="J163" i="6"/>
  <c r="J167" i="6"/>
  <c r="J168" i="6"/>
  <c r="J169" i="6"/>
  <c r="J172" i="6"/>
  <c r="J174" i="6"/>
  <c r="J176" i="6"/>
  <c r="J177" i="6"/>
  <c r="J178" i="6"/>
  <c r="J181" i="6"/>
  <c r="J182" i="6"/>
  <c r="J183" i="6"/>
  <c r="J186" i="6"/>
  <c r="J190" i="6"/>
  <c r="J191" i="6"/>
  <c r="J192" i="6"/>
  <c r="J195" i="6"/>
  <c r="J196" i="6"/>
  <c r="J197" i="6"/>
  <c r="J199" i="6"/>
  <c r="J205" i="6"/>
  <c r="J206" i="6"/>
  <c r="J207" i="6"/>
  <c r="J210" i="6"/>
  <c r="J211" i="6"/>
  <c r="J212" i="6"/>
  <c r="J215" i="6"/>
  <c r="J216" i="6"/>
  <c r="J217" i="6"/>
  <c r="J218" i="6"/>
  <c r="J220" i="6"/>
  <c r="J225" i="6"/>
  <c r="J226" i="6"/>
  <c r="J227" i="6"/>
  <c r="J230" i="6"/>
  <c r="J231" i="6"/>
  <c r="J232" i="6"/>
  <c r="J235" i="6"/>
  <c r="J236" i="6"/>
  <c r="J237" i="6"/>
  <c r="J238" i="6"/>
  <c r="J241" i="6"/>
  <c r="J242" i="6"/>
  <c r="J243" i="6"/>
  <c r="J246" i="6"/>
  <c r="J247" i="6"/>
  <c r="J248" i="6"/>
  <c r="J250" i="6"/>
  <c r="J253" i="6"/>
  <c r="J254" i="6"/>
  <c r="J255" i="6"/>
  <c r="J258" i="6"/>
  <c r="J259" i="6"/>
  <c r="J260" i="6"/>
  <c r="J262" i="6"/>
  <c r="J269" i="6"/>
  <c r="J270" i="6"/>
  <c r="J271" i="6"/>
  <c r="J274" i="6"/>
  <c r="J275" i="6"/>
  <c r="J276" i="6"/>
  <c r="J278" i="6"/>
  <c r="J282" i="6"/>
  <c r="J283" i="6"/>
  <c r="J284" i="6"/>
  <c r="J287" i="6"/>
  <c r="J288" i="6"/>
  <c r="J289" i="6"/>
  <c r="J291" i="6"/>
  <c r="J300" i="6"/>
  <c r="J301" i="6"/>
  <c r="J302" i="6"/>
  <c r="J305" i="6"/>
  <c r="J306" i="6"/>
  <c r="J307" i="6"/>
  <c r="J308" i="6"/>
  <c r="J309" i="6"/>
  <c r="J311" i="6"/>
  <c r="J312" i="6"/>
  <c r="J313" i="6"/>
  <c r="J316" i="6"/>
  <c r="J317" i="6"/>
  <c r="J318" i="6"/>
  <c r="J319" i="6"/>
  <c r="J320" i="6"/>
  <c r="J321" i="6"/>
  <c r="J322" i="6"/>
  <c r="J323" i="6"/>
  <c r="J324" i="6"/>
  <c r="J6" i="1"/>
  <c r="J8" i="1"/>
  <c r="J10" i="1"/>
  <c r="J13" i="1"/>
  <c r="J14" i="1"/>
  <c r="J15" i="1"/>
  <c r="J17" i="1"/>
  <c r="J19" i="1"/>
  <c r="J20" i="1"/>
  <c r="J21" i="1"/>
  <c r="J23" i="1"/>
  <c r="J24" i="1"/>
  <c r="J25" i="1"/>
  <c r="J27" i="1"/>
  <c r="J28" i="1"/>
  <c r="J29" i="1"/>
  <c r="J31" i="1"/>
  <c r="J33" i="1"/>
  <c r="J35" i="1"/>
  <c r="J36" i="1"/>
  <c r="J37" i="1"/>
  <c r="J39" i="1"/>
  <c r="J40" i="1"/>
  <c r="J41" i="1"/>
  <c r="J44" i="1"/>
  <c r="J49" i="1"/>
  <c r="J50" i="1"/>
  <c r="J51" i="1"/>
  <c r="J53" i="1"/>
  <c r="J54" i="1"/>
  <c r="J55" i="1"/>
  <c r="J59" i="1"/>
  <c r="J62" i="1"/>
  <c r="J67" i="1"/>
  <c r="J68" i="1"/>
  <c r="J69" i="1"/>
  <c r="J71" i="1"/>
  <c r="J72" i="1"/>
  <c r="J73" i="1"/>
  <c r="J77" i="1"/>
  <c r="J78" i="1"/>
  <c r="J79" i="1"/>
  <c r="J81" i="1"/>
  <c r="J85" i="1"/>
  <c r="J86" i="1"/>
  <c r="J87" i="1"/>
  <c r="J90" i="1"/>
  <c r="J92" i="1"/>
  <c r="J96" i="1"/>
  <c r="J97" i="1"/>
  <c r="J98" i="1"/>
  <c r="J101" i="1"/>
  <c r="J103" i="1"/>
  <c r="J107" i="1"/>
  <c r="J108" i="1"/>
  <c r="J109" i="1"/>
  <c r="J112" i="1"/>
  <c r="J113" i="1"/>
  <c r="J114" i="1"/>
  <c r="J115" i="1"/>
  <c r="J118" i="1"/>
  <c r="J119" i="1"/>
  <c r="J120" i="1"/>
  <c r="J121" i="1"/>
  <c r="J124" i="1"/>
  <c r="J125" i="1"/>
  <c r="J126" i="1"/>
  <c r="J128" i="1"/>
  <c r="J130" i="1"/>
  <c r="J131" i="1"/>
  <c r="J132" i="1"/>
  <c r="J134" i="1"/>
  <c r="J135" i="1"/>
  <c r="J137" i="1"/>
  <c r="J139" i="1"/>
  <c r="J141" i="1"/>
  <c r="J142" i="1"/>
  <c r="J143" i="1"/>
  <c r="J145" i="1"/>
  <c r="J146" i="1"/>
  <c r="J148" i="1"/>
  <c r="J150" i="1"/>
  <c r="J152" i="1"/>
  <c r="J153" i="1"/>
  <c r="J154" i="1"/>
  <c r="J156" i="1"/>
  <c r="J157" i="1"/>
  <c r="J159" i="1"/>
  <c r="J160" i="1"/>
  <c r="J161" i="1"/>
  <c r="J163" i="1"/>
  <c r="J167" i="1"/>
  <c r="J168" i="1"/>
  <c r="J169" i="1"/>
  <c r="J172" i="1"/>
  <c r="J174" i="1"/>
  <c r="J176" i="1"/>
  <c r="J177" i="1"/>
  <c r="J178" i="1"/>
  <c r="J181" i="1"/>
  <c r="J182" i="1"/>
  <c r="J183" i="1"/>
  <c r="J186" i="1"/>
  <c r="J190" i="1"/>
  <c r="J191" i="1"/>
  <c r="J192" i="1"/>
  <c r="J195" i="1"/>
  <c r="J196" i="1"/>
  <c r="J197" i="1"/>
  <c r="J199" i="1"/>
  <c r="J205" i="1"/>
  <c r="J206" i="1"/>
  <c r="J207" i="1"/>
  <c r="J210" i="1"/>
  <c r="J211" i="1"/>
  <c r="J212" i="1"/>
  <c r="J215" i="1"/>
  <c r="J216" i="1"/>
  <c r="J217" i="1"/>
  <c r="J220" i="1"/>
  <c r="J225" i="1"/>
  <c r="J226" i="1"/>
  <c r="J227" i="1"/>
  <c r="J230" i="1"/>
  <c r="J231" i="1"/>
  <c r="J232" i="1"/>
  <c r="J235" i="1"/>
  <c r="J236" i="1"/>
  <c r="J238" i="1"/>
  <c r="J241" i="1"/>
  <c r="J242" i="1"/>
  <c r="J243" i="1"/>
  <c r="J246" i="1"/>
  <c r="J247" i="1"/>
  <c r="J248" i="1"/>
  <c r="J250" i="1"/>
  <c r="J253" i="1"/>
  <c r="J254" i="1"/>
  <c r="J255" i="1"/>
  <c r="J258" i="1"/>
  <c r="J259" i="1"/>
  <c r="J260" i="1"/>
  <c r="J262" i="1"/>
  <c r="J269" i="1"/>
  <c r="J270" i="1"/>
  <c r="J271" i="1"/>
  <c r="J274" i="1"/>
  <c r="J275" i="1"/>
  <c r="J276" i="1"/>
  <c r="J278" i="1"/>
  <c r="J282" i="1"/>
  <c r="J283" i="1"/>
  <c r="J284" i="1"/>
  <c r="J287" i="1"/>
  <c r="J288" i="1"/>
  <c r="J289" i="1"/>
  <c r="J291" i="1"/>
  <c r="J300" i="1"/>
  <c r="J301" i="1"/>
  <c r="J302" i="1"/>
  <c r="J305" i="1"/>
  <c r="J306" i="1"/>
  <c r="J307" i="1"/>
  <c r="J308" i="1"/>
  <c r="J309" i="1"/>
  <c r="J311" i="1"/>
  <c r="J312" i="1"/>
  <c r="J313" i="1"/>
  <c r="J316" i="1"/>
  <c r="J317" i="1"/>
  <c r="J318" i="1"/>
  <c r="J319" i="1"/>
  <c r="J320" i="1"/>
  <c r="J321" i="1"/>
  <c r="J322" i="1"/>
  <c r="J325" i="1"/>
  <c r="J326" i="1"/>
  <c r="J327" i="1"/>
  <c r="J328" i="1"/>
  <c r="J329" i="1"/>
  <c r="J331" i="1"/>
  <c r="J332" i="1"/>
  <c r="J333" i="1"/>
  <c r="I30" i="1"/>
  <c r="I38" i="1" s="1"/>
  <c r="I26" i="1"/>
  <c r="I34" i="1" s="1"/>
  <c r="D109" i="7" l="1"/>
  <c r="D95" i="7"/>
  <c r="D102" i="7" s="1"/>
  <c r="D338" i="5"/>
  <c r="D85" i="7"/>
  <c r="D73" i="7"/>
  <c r="B26" i="9"/>
  <c r="B24" i="9"/>
  <c r="B23" i="9"/>
  <c r="B22" i="9"/>
  <c r="D37" i="7"/>
  <c r="D82" i="7"/>
  <c r="D70" i="7"/>
  <c r="D47" i="7"/>
  <c r="D16" i="7"/>
  <c r="D6" i="7"/>
  <c r="D237" i="2"/>
  <c r="D218" i="2"/>
  <c r="D237" i="1"/>
  <c r="D218" i="1"/>
  <c r="D279" i="3"/>
  <c r="D283" i="3" s="1"/>
  <c r="D250" i="3"/>
  <c r="D185" i="3"/>
  <c r="D278" i="5"/>
  <c r="D249" i="5"/>
  <c r="D184" i="5"/>
  <c r="D277" i="2"/>
  <c r="D249" i="2"/>
  <c r="D184" i="2"/>
  <c r="D251" i="4"/>
  <c r="D253" i="4" s="1"/>
  <c r="D186" i="4"/>
  <c r="D249" i="6"/>
  <c r="D184" i="6"/>
  <c r="D249" i="1"/>
  <c r="D184" i="1"/>
  <c r="D116" i="3"/>
  <c r="D116" i="5"/>
  <c r="F116" i="5" s="1"/>
  <c r="D116" i="2"/>
  <c r="D116" i="1"/>
  <c r="D116" i="6"/>
  <c r="D116" i="4"/>
  <c r="D327" i="3"/>
  <c r="D316" i="3"/>
  <c r="B300" i="3"/>
  <c r="B299" i="3"/>
  <c r="B298" i="3"/>
  <c r="B296" i="3"/>
  <c r="B295" i="3"/>
  <c r="B294" i="3"/>
  <c r="D315" i="5"/>
  <c r="F315" i="5" s="1"/>
  <c r="D335" i="5"/>
  <c r="F335" i="5" s="1"/>
  <c r="D326" i="5"/>
  <c r="F326" i="5" s="1"/>
  <c r="B299" i="5"/>
  <c r="B298" i="5"/>
  <c r="B297" i="5"/>
  <c r="B295" i="5"/>
  <c r="B294" i="5"/>
  <c r="B293" i="5"/>
  <c r="D334" i="2"/>
  <c r="D325" i="2"/>
  <c r="D314" i="2"/>
  <c r="B298" i="2"/>
  <c r="B297" i="2"/>
  <c r="B296" i="2"/>
  <c r="B294" i="2"/>
  <c r="B293" i="2"/>
  <c r="B292" i="2"/>
  <c r="D310" i="1"/>
  <c r="D330" i="1"/>
  <c r="D323" i="4"/>
  <c r="D327" i="4"/>
  <c r="H327" i="4" s="1"/>
  <c r="D316" i="4"/>
  <c r="B300" i="4"/>
  <c r="B299" i="4"/>
  <c r="B298" i="4"/>
  <c r="B296" i="4"/>
  <c r="B295" i="4"/>
  <c r="B294" i="4"/>
  <c r="D325" i="6"/>
  <c r="D310" i="6"/>
  <c r="B298" i="6"/>
  <c r="B297" i="6"/>
  <c r="B296" i="6"/>
  <c r="B294" i="6"/>
  <c r="B293" i="6"/>
  <c r="B292" i="6"/>
  <c r="D334" i="1"/>
  <c r="D323" i="1"/>
  <c r="D149" i="1"/>
  <c r="D138" i="1"/>
  <c r="D127" i="1"/>
  <c r="D91" i="1"/>
  <c r="D102" i="1"/>
  <c r="D60" i="1"/>
  <c r="D32" i="1"/>
  <c r="D9" i="1"/>
  <c r="D80" i="1"/>
  <c r="D42" i="1"/>
  <c r="D16" i="1"/>
  <c r="D5" i="1"/>
  <c r="D122" i="1"/>
  <c r="D117" i="1"/>
  <c r="D30" i="1"/>
  <c r="D26" i="1"/>
  <c r="D149" i="6"/>
  <c r="D138" i="6"/>
  <c r="D127" i="6"/>
  <c r="D102" i="6"/>
  <c r="D91" i="6"/>
  <c r="D80" i="6"/>
  <c r="D60" i="6"/>
  <c r="D42" i="6"/>
  <c r="D32" i="6"/>
  <c r="D16" i="6"/>
  <c r="D9" i="6"/>
  <c r="D5" i="6"/>
  <c r="J5" i="6" s="1"/>
  <c r="D122" i="6"/>
  <c r="D117" i="6"/>
  <c r="D30" i="6"/>
  <c r="D26" i="6"/>
  <c r="D149" i="4"/>
  <c r="D138" i="4"/>
  <c r="D127" i="4"/>
  <c r="D91" i="2"/>
  <c r="D102" i="4"/>
  <c r="D91" i="4"/>
  <c r="D80" i="4"/>
  <c r="D60" i="4"/>
  <c r="D42" i="4"/>
  <c r="D32" i="4"/>
  <c r="D16" i="4"/>
  <c r="D9" i="4"/>
  <c r="D5" i="4"/>
  <c r="D140" i="4"/>
  <c r="D133" i="4"/>
  <c r="D122" i="4"/>
  <c r="H122" i="4" s="1"/>
  <c r="D117" i="4"/>
  <c r="D99" i="4"/>
  <c r="D83" i="4"/>
  <c r="D30" i="4"/>
  <c r="D26" i="4"/>
  <c r="D149" i="2"/>
  <c r="D138" i="2"/>
  <c r="D127" i="2"/>
  <c r="D102" i="2"/>
  <c r="D80" i="2"/>
  <c r="D60" i="2"/>
  <c r="D42" i="2"/>
  <c r="D32" i="2"/>
  <c r="D16" i="2"/>
  <c r="D9" i="2"/>
  <c r="D5" i="2"/>
  <c r="D122" i="2"/>
  <c r="D117" i="2"/>
  <c r="D30" i="2"/>
  <c r="D26" i="2"/>
  <c r="D149" i="5"/>
  <c r="D138" i="5"/>
  <c r="D127" i="5"/>
  <c r="D102" i="5"/>
  <c r="D91" i="5"/>
  <c r="D80" i="5"/>
  <c r="D60" i="3"/>
  <c r="D60" i="5"/>
  <c r="D42" i="5"/>
  <c r="D32" i="5"/>
  <c r="D16" i="5"/>
  <c r="D5" i="5"/>
  <c r="D9" i="5"/>
  <c r="D122" i="5"/>
  <c r="F122" i="5" s="1"/>
  <c r="D117" i="5"/>
  <c r="F117" i="5" s="1"/>
  <c r="D30" i="5"/>
  <c r="F30" i="5" s="1"/>
  <c r="D26" i="5"/>
  <c r="F26" i="5" s="1"/>
  <c r="D149" i="3"/>
  <c r="D138" i="3"/>
  <c r="D127" i="3"/>
  <c r="D102" i="3"/>
  <c r="D91" i="3"/>
  <c r="D80" i="3"/>
  <c r="D42" i="3"/>
  <c r="D32" i="3"/>
  <c r="D16" i="3"/>
  <c r="D9" i="3"/>
  <c r="D5" i="3"/>
  <c r="D122" i="3"/>
  <c r="D117" i="3"/>
  <c r="D30" i="3"/>
  <c r="D252" i="3"/>
  <c r="B268" i="3"/>
  <c r="B267" i="3"/>
  <c r="B266" i="3"/>
  <c r="D245" i="3"/>
  <c r="D241" i="3"/>
  <c r="D240" i="3"/>
  <c r="D199" i="3"/>
  <c r="D174" i="3"/>
  <c r="D162" i="3"/>
  <c r="B267" i="5"/>
  <c r="B266" i="5"/>
  <c r="B265" i="5"/>
  <c r="D244" i="5"/>
  <c r="D240" i="5"/>
  <c r="D239" i="5"/>
  <c r="D198" i="5"/>
  <c r="D173" i="5"/>
  <c r="D162" i="5"/>
  <c r="B266" i="2"/>
  <c r="B265" i="2"/>
  <c r="B264" i="2"/>
  <c r="D198" i="2"/>
  <c r="D173" i="2"/>
  <c r="D162" i="2"/>
  <c r="D200" i="4"/>
  <c r="D173" i="4"/>
  <c r="D162" i="4"/>
  <c r="D198" i="6"/>
  <c r="D162" i="6"/>
  <c r="D198" i="1"/>
  <c r="D162" i="1"/>
  <c r="D173" i="1"/>
  <c r="D222" i="3"/>
  <c r="D220" i="3"/>
  <c r="D221" i="5"/>
  <c r="D219" i="5"/>
  <c r="F219" i="5" s="1"/>
  <c r="B268" i="4"/>
  <c r="B267" i="4"/>
  <c r="B266" i="4"/>
  <c r="D246" i="4"/>
  <c r="H246" i="4" s="1"/>
  <c r="D242" i="4"/>
  <c r="D241" i="4"/>
  <c r="D223" i="4"/>
  <c r="D221" i="4"/>
  <c r="H221" i="4" s="1"/>
  <c r="B266" i="6"/>
  <c r="B265" i="6"/>
  <c r="B264" i="6"/>
  <c r="D244" i="6"/>
  <c r="D240" i="6"/>
  <c r="D239" i="6"/>
  <c r="D221" i="6"/>
  <c r="D219" i="6"/>
  <c r="D173" i="6"/>
  <c r="B298" i="1"/>
  <c r="B297" i="1"/>
  <c r="B296" i="1"/>
  <c r="B294" i="1"/>
  <c r="B293" i="1"/>
  <c r="B292" i="1"/>
  <c r="B266" i="1"/>
  <c r="B265" i="1"/>
  <c r="B264" i="1"/>
  <c r="J162" i="2" l="1"/>
  <c r="F162" i="2"/>
  <c r="J198" i="2"/>
  <c r="F198" i="2"/>
  <c r="J16" i="2"/>
  <c r="F16" i="2"/>
  <c r="J32" i="2"/>
  <c r="F32" i="2"/>
  <c r="J42" i="2"/>
  <c r="F42" i="2"/>
  <c r="J91" i="2"/>
  <c r="F91" i="2"/>
  <c r="J138" i="2"/>
  <c r="F138" i="2"/>
  <c r="J60" i="2"/>
  <c r="F60" i="2"/>
  <c r="J80" i="2"/>
  <c r="F80" i="2"/>
  <c r="J102" i="2"/>
  <c r="F102" i="2"/>
  <c r="J314" i="2"/>
  <c r="F314" i="2"/>
  <c r="H26" i="2"/>
  <c r="J26" i="2"/>
  <c r="F26" i="2"/>
  <c r="J127" i="2"/>
  <c r="F127" i="2"/>
  <c r="J325" i="2"/>
  <c r="F325" i="2"/>
  <c r="H30" i="2"/>
  <c r="J30" i="2"/>
  <c r="F30" i="2"/>
  <c r="H334" i="2"/>
  <c r="J334" i="2"/>
  <c r="F334" i="2"/>
  <c r="H117" i="2"/>
  <c r="J117" i="2"/>
  <c r="F117" i="2"/>
  <c r="J149" i="2"/>
  <c r="F149" i="2"/>
  <c r="J122" i="2"/>
  <c r="F122" i="2"/>
  <c r="D7" i="2"/>
  <c r="J5" i="2"/>
  <c r="F5" i="2"/>
  <c r="J173" i="2"/>
  <c r="F173" i="2"/>
  <c r="J9" i="2"/>
  <c r="F9" i="2"/>
  <c r="J218" i="2"/>
  <c r="F218" i="2"/>
  <c r="J184" i="2"/>
  <c r="F184" i="2"/>
  <c r="J237" i="2"/>
  <c r="F237" i="2"/>
  <c r="J249" i="2"/>
  <c r="F249" i="2"/>
  <c r="J277" i="2"/>
  <c r="F277" i="2"/>
  <c r="H116" i="2"/>
  <c r="J116" i="2"/>
  <c r="F116" i="2"/>
  <c r="H102" i="7"/>
  <c r="J102" i="7"/>
  <c r="J109" i="7"/>
  <c r="H85" i="7"/>
  <c r="J85" i="7"/>
  <c r="D13" i="7"/>
  <c r="J6" i="7"/>
  <c r="H73" i="7"/>
  <c r="J73" i="7"/>
  <c r="D18" i="7"/>
  <c r="D19" i="7" s="1"/>
  <c r="J16" i="7"/>
  <c r="D49" i="7"/>
  <c r="J47" i="7"/>
  <c r="D44" i="7"/>
  <c r="J37" i="7"/>
  <c r="D72" i="7"/>
  <c r="J70" i="7"/>
  <c r="D91" i="7"/>
  <c r="J82" i="7"/>
  <c r="D120" i="7"/>
  <c r="D121" i="7" s="1"/>
  <c r="D104" i="7"/>
  <c r="J95" i="7"/>
  <c r="H283" i="3"/>
  <c r="J283" i="3"/>
  <c r="D140" i="3"/>
  <c r="H138" i="3"/>
  <c r="J138" i="3"/>
  <c r="D328" i="3"/>
  <c r="H327" i="3"/>
  <c r="J327" i="3"/>
  <c r="D176" i="3"/>
  <c r="H174" i="3"/>
  <c r="J174" i="3"/>
  <c r="D210" i="3"/>
  <c r="H199" i="3"/>
  <c r="J199" i="3"/>
  <c r="H240" i="3"/>
  <c r="J240" i="3"/>
  <c r="D12" i="3"/>
  <c r="H9" i="3"/>
  <c r="J9" i="3"/>
  <c r="H241" i="3"/>
  <c r="J241" i="3"/>
  <c r="D18" i="3"/>
  <c r="H16" i="3"/>
  <c r="J16" i="3"/>
  <c r="H279" i="3"/>
  <c r="J279" i="3"/>
  <c r="H117" i="3"/>
  <c r="J117" i="3"/>
  <c r="D7" i="3"/>
  <c r="J5" i="3"/>
  <c r="D246" i="3"/>
  <c r="H245" i="3"/>
  <c r="J245" i="3"/>
  <c r="D34" i="3"/>
  <c r="H32" i="3"/>
  <c r="J32" i="3"/>
  <c r="D106" i="3"/>
  <c r="H102" i="3"/>
  <c r="J102" i="3"/>
  <c r="D129" i="3"/>
  <c r="H127" i="3"/>
  <c r="J127" i="3"/>
  <c r="D234" i="3"/>
  <c r="H220" i="3"/>
  <c r="J220" i="3"/>
  <c r="H60" i="3"/>
  <c r="J60" i="3"/>
  <c r="H316" i="3"/>
  <c r="J316" i="3"/>
  <c r="H222" i="3"/>
  <c r="J222" i="3"/>
  <c r="D166" i="3"/>
  <c r="H162" i="3"/>
  <c r="J162" i="3"/>
  <c r="D151" i="3"/>
  <c r="H149" i="3"/>
  <c r="J149" i="3"/>
  <c r="D123" i="3"/>
  <c r="H122" i="3"/>
  <c r="J122" i="3"/>
  <c r="D43" i="3"/>
  <c r="H42" i="3"/>
  <c r="J42" i="3"/>
  <c r="H116" i="3"/>
  <c r="J116" i="3"/>
  <c r="D84" i="3"/>
  <c r="H80" i="3"/>
  <c r="J80" i="3"/>
  <c r="D186" i="3"/>
  <c r="D190" i="3" s="1"/>
  <c r="H185" i="3"/>
  <c r="J185" i="3"/>
  <c r="H252" i="3"/>
  <c r="J252" i="3"/>
  <c r="H30" i="3"/>
  <c r="J30" i="3"/>
  <c r="D94" i="3"/>
  <c r="H91" i="3"/>
  <c r="J91" i="3"/>
  <c r="H250" i="3"/>
  <c r="J250" i="3"/>
  <c r="J244" i="5"/>
  <c r="D38" i="5"/>
  <c r="F38" i="5" s="1"/>
  <c r="D233" i="5"/>
  <c r="J219" i="5"/>
  <c r="D43" i="5"/>
  <c r="J42" i="5"/>
  <c r="D61" i="5"/>
  <c r="J60" i="5"/>
  <c r="J80" i="5"/>
  <c r="J26" i="5"/>
  <c r="D94" i="5"/>
  <c r="F94" i="5" s="1"/>
  <c r="J91" i="5"/>
  <c r="J102" i="5"/>
  <c r="D327" i="5"/>
  <c r="F327" i="5" s="1"/>
  <c r="J326" i="5"/>
  <c r="D170" i="5"/>
  <c r="F170" i="5" s="1"/>
  <c r="J162" i="5"/>
  <c r="J117" i="5"/>
  <c r="D133" i="5"/>
  <c r="F133" i="5" s="1"/>
  <c r="J127" i="5"/>
  <c r="D336" i="5"/>
  <c r="F336" i="5" s="1"/>
  <c r="J335" i="5"/>
  <c r="D179" i="5"/>
  <c r="J173" i="5"/>
  <c r="D123" i="5"/>
  <c r="F123" i="5" s="1"/>
  <c r="J122" i="5"/>
  <c r="D140" i="5"/>
  <c r="F140" i="5" s="1"/>
  <c r="J138" i="5"/>
  <c r="D316" i="5"/>
  <c r="F316" i="5" s="1"/>
  <c r="J315" i="5"/>
  <c r="J184" i="5"/>
  <c r="D349" i="5"/>
  <c r="F349" i="5" s="1"/>
  <c r="J338" i="5"/>
  <c r="D213" i="5"/>
  <c r="F213" i="5" s="1"/>
  <c r="J198" i="5"/>
  <c r="D12" i="5"/>
  <c r="F12" i="5" s="1"/>
  <c r="J9" i="5"/>
  <c r="D155" i="5"/>
  <c r="F155" i="5" s="1"/>
  <c r="J149" i="5"/>
  <c r="D251" i="5"/>
  <c r="F251" i="5" s="1"/>
  <c r="J249" i="5"/>
  <c r="J221" i="5"/>
  <c r="J239" i="5"/>
  <c r="D7" i="5"/>
  <c r="F7" i="5" s="1"/>
  <c r="J5" i="5"/>
  <c r="D280" i="5"/>
  <c r="F280" i="5" s="1"/>
  <c r="J278" i="5"/>
  <c r="J240" i="5"/>
  <c r="J16" i="5"/>
  <c r="D209" i="2"/>
  <c r="D38" i="2"/>
  <c r="D256" i="2"/>
  <c r="D315" i="2"/>
  <c r="H314" i="2"/>
  <c r="D155" i="2"/>
  <c r="D170" i="2"/>
  <c r="D123" i="2"/>
  <c r="H122" i="2"/>
  <c r="D179" i="2"/>
  <c r="D12" i="2"/>
  <c r="D221" i="2"/>
  <c r="D244" i="2"/>
  <c r="D43" i="2"/>
  <c r="D99" i="2"/>
  <c r="D279" i="2"/>
  <c r="D133" i="2"/>
  <c r="D136" i="2" s="1"/>
  <c r="D326" i="2"/>
  <c r="H325" i="2"/>
  <c r="D140" i="2"/>
  <c r="J253" i="4"/>
  <c r="H253" i="4"/>
  <c r="J323" i="4"/>
  <c r="H323" i="4"/>
  <c r="J26" i="4"/>
  <c r="H26" i="4"/>
  <c r="J30" i="4"/>
  <c r="H30" i="4"/>
  <c r="J83" i="4"/>
  <c r="H83" i="4"/>
  <c r="J80" i="4"/>
  <c r="J186" i="4"/>
  <c r="J99" i="4"/>
  <c r="H99" i="4"/>
  <c r="J91" i="4"/>
  <c r="J251" i="4"/>
  <c r="J223" i="4"/>
  <c r="H223" i="4"/>
  <c r="J117" i="4"/>
  <c r="H117" i="4"/>
  <c r="J116" i="4"/>
  <c r="H116" i="4"/>
  <c r="J241" i="4"/>
  <c r="H241" i="4"/>
  <c r="J242" i="4"/>
  <c r="H242" i="4"/>
  <c r="J133" i="4"/>
  <c r="H133" i="4"/>
  <c r="J127" i="4"/>
  <c r="J140" i="4"/>
  <c r="H140" i="4"/>
  <c r="J138" i="4"/>
  <c r="J316" i="4"/>
  <c r="H316" i="4"/>
  <c r="D185" i="6"/>
  <c r="H184" i="6"/>
  <c r="J184" i="6"/>
  <c r="H310" i="6"/>
  <c r="J310" i="6"/>
  <c r="D12" i="6"/>
  <c r="H9" i="6"/>
  <c r="J9" i="6"/>
  <c r="D326" i="6"/>
  <c r="H325" i="6"/>
  <c r="J325" i="6"/>
  <c r="D22" i="6"/>
  <c r="H16" i="6"/>
  <c r="J16" i="6"/>
  <c r="D38" i="6"/>
  <c r="H32" i="6"/>
  <c r="J32" i="6"/>
  <c r="D43" i="6"/>
  <c r="D52" i="6" s="1"/>
  <c r="H42" i="6"/>
  <c r="J42" i="6"/>
  <c r="H116" i="6"/>
  <c r="J116" i="6"/>
  <c r="D175" i="6"/>
  <c r="H173" i="6"/>
  <c r="J173" i="6"/>
  <c r="D170" i="6"/>
  <c r="H162" i="6"/>
  <c r="J162" i="6"/>
  <c r="D61" i="6"/>
  <c r="H60" i="6"/>
  <c r="J60" i="6"/>
  <c r="D233" i="6"/>
  <c r="H219" i="6"/>
  <c r="J219" i="6"/>
  <c r="D209" i="6"/>
  <c r="H198" i="6"/>
  <c r="J198" i="6"/>
  <c r="D83" i="6"/>
  <c r="H80" i="6"/>
  <c r="J80" i="6"/>
  <c r="H221" i="6"/>
  <c r="J221" i="6"/>
  <c r="D99" i="6"/>
  <c r="H91" i="6"/>
  <c r="J91" i="6"/>
  <c r="D123" i="6"/>
  <c r="H122" i="6"/>
  <c r="J122" i="6"/>
  <c r="H149" i="6"/>
  <c r="J149" i="6"/>
  <c r="D261" i="6"/>
  <c r="H249" i="6"/>
  <c r="J249" i="6"/>
  <c r="H239" i="6"/>
  <c r="J239" i="6"/>
  <c r="H26" i="6"/>
  <c r="J26" i="6"/>
  <c r="D105" i="6"/>
  <c r="H102" i="6"/>
  <c r="J102" i="6"/>
  <c r="H240" i="6"/>
  <c r="J240" i="6"/>
  <c r="H30" i="6"/>
  <c r="J30" i="6"/>
  <c r="H127" i="6"/>
  <c r="J127" i="6"/>
  <c r="D245" i="6"/>
  <c r="H244" i="6"/>
  <c r="J244" i="6"/>
  <c r="H117" i="6"/>
  <c r="J117" i="6"/>
  <c r="D140" i="6"/>
  <c r="H138" i="6"/>
  <c r="J138" i="6"/>
  <c r="D106" i="1"/>
  <c r="J102" i="1"/>
  <c r="J330" i="1"/>
  <c r="D314" i="1"/>
  <c r="J310" i="1"/>
  <c r="D219" i="1"/>
  <c r="D224" i="1" s="1"/>
  <c r="J218" i="1"/>
  <c r="J26" i="1"/>
  <c r="D99" i="1"/>
  <c r="J91" i="1"/>
  <c r="J30" i="1"/>
  <c r="D133" i="1"/>
  <c r="J127" i="1"/>
  <c r="D239" i="1"/>
  <c r="J237" i="1"/>
  <c r="D179" i="1"/>
  <c r="J173" i="1"/>
  <c r="D324" i="1"/>
  <c r="J323" i="1"/>
  <c r="D170" i="1"/>
  <c r="J162" i="1"/>
  <c r="D155" i="1"/>
  <c r="J149" i="1"/>
  <c r="D22" i="1"/>
  <c r="J16" i="1"/>
  <c r="D335" i="1"/>
  <c r="J334" i="1"/>
  <c r="J116" i="1"/>
  <c r="J117" i="1"/>
  <c r="D140" i="1"/>
  <c r="J138" i="1"/>
  <c r="D123" i="1"/>
  <c r="J122" i="1"/>
  <c r="D208" i="1"/>
  <c r="J198" i="1"/>
  <c r="J5" i="1"/>
  <c r="J337" i="1" s="1"/>
  <c r="D43" i="1"/>
  <c r="D56" i="1" s="1"/>
  <c r="J42" i="1"/>
  <c r="D83" i="1"/>
  <c r="J80" i="1"/>
  <c r="D12" i="1"/>
  <c r="J9" i="1"/>
  <c r="D38" i="1"/>
  <c r="J32" i="1"/>
  <c r="J184" i="1"/>
  <c r="J60" i="1"/>
  <c r="D256" i="1"/>
  <c r="J249" i="1"/>
  <c r="D236" i="4"/>
  <c r="J221" i="4"/>
  <c r="D106" i="4"/>
  <c r="J102" i="4"/>
  <c r="D247" i="4"/>
  <c r="J246" i="4"/>
  <c r="D123" i="4"/>
  <c r="J122" i="4"/>
  <c r="D43" i="4"/>
  <c r="J42" i="4"/>
  <c r="D61" i="4"/>
  <c r="J60" i="4"/>
  <c r="D175" i="4"/>
  <c r="J173" i="4"/>
  <c r="D12" i="4"/>
  <c r="H12" i="4" s="1"/>
  <c r="J9" i="4"/>
  <c r="D215" i="4"/>
  <c r="H215" i="4" s="1"/>
  <c r="J200" i="4"/>
  <c r="D22" i="4"/>
  <c r="J16" i="4"/>
  <c r="D328" i="4"/>
  <c r="J327" i="4"/>
  <c r="D170" i="4"/>
  <c r="H170" i="4" s="1"/>
  <c r="J162" i="4"/>
  <c r="D7" i="4"/>
  <c r="J5" i="4"/>
  <c r="D155" i="4"/>
  <c r="J149" i="4"/>
  <c r="D34" i="4"/>
  <c r="J32" i="4"/>
  <c r="D292" i="3"/>
  <c r="D301" i="3" s="1"/>
  <c r="D240" i="2"/>
  <c r="D239" i="2"/>
  <c r="D105" i="4"/>
  <c r="D277" i="6"/>
  <c r="D221" i="1"/>
  <c r="D244" i="1"/>
  <c r="D240" i="1"/>
  <c r="D277" i="1"/>
  <c r="D315" i="1"/>
  <c r="D211" i="4"/>
  <c r="H211" i="4" s="1"/>
  <c r="D106" i="7"/>
  <c r="D112" i="7"/>
  <c r="D103" i="7"/>
  <c r="D98" i="7"/>
  <c r="D339" i="5"/>
  <c r="F339" i="5" s="1"/>
  <c r="D341" i="5"/>
  <c r="F341" i="5" s="1"/>
  <c r="D281" i="5"/>
  <c r="F281" i="5" s="1"/>
  <c r="D282" i="5"/>
  <c r="F282" i="5" s="1"/>
  <c r="D11" i="9"/>
  <c r="D12" i="9"/>
  <c r="D291" i="5"/>
  <c r="D84" i="7"/>
  <c r="D86" i="7"/>
  <c r="D74" i="7"/>
  <c r="D219" i="2"/>
  <c r="D317" i="3"/>
  <c r="D335" i="2"/>
  <c r="D290" i="2"/>
  <c r="D317" i="4"/>
  <c r="D290" i="6"/>
  <c r="D304" i="6"/>
  <c r="D314" i="6"/>
  <c r="D41" i="7"/>
  <c r="D39" i="7"/>
  <c r="D53" i="7"/>
  <c r="D40" i="7"/>
  <c r="D8" i="7"/>
  <c r="D9" i="7"/>
  <c r="D64" i="7"/>
  <c r="D10" i="7"/>
  <c r="D54" i="7"/>
  <c r="D50" i="7"/>
  <c r="D105" i="1"/>
  <c r="D84" i="1"/>
  <c r="D94" i="1"/>
  <c r="D93" i="1"/>
  <c r="D95" i="1"/>
  <c r="D34" i="1"/>
  <c r="D279" i="1"/>
  <c r="D129" i="1"/>
  <c r="D151" i="1"/>
  <c r="D7" i="1"/>
  <c r="D88" i="1"/>
  <c r="D110" i="1"/>
  <c r="D261" i="1"/>
  <c r="D18" i="1"/>
  <c r="D82" i="1"/>
  <c r="D104" i="1"/>
  <c r="D61" i="1"/>
  <c r="D106" i="6"/>
  <c r="D84" i="6"/>
  <c r="D34" i="6"/>
  <c r="D93" i="6"/>
  <c r="D46" i="6"/>
  <c r="D47" i="6"/>
  <c r="D281" i="6"/>
  <c r="D95" i="6"/>
  <c r="D285" i="6"/>
  <c r="D94" i="6"/>
  <c r="D155" i="6"/>
  <c r="D151" i="6"/>
  <c r="D75" i="6"/>
  <c r="D64" i="6"/>
  <c r="D74" i="6"/>
  <c r="D63" i="6"/>
  <c r="D70" i="6"/>
  <c r="D133" i="6"/>
  <c r="D129" i="6"/>
  <c r="D7" i="6"/>
  <c r="D65" i="6"/>
  <c r="D88" i="6"/>
  <c r="D110" i="6"/>
  <c r="D18" i="6"/>
  <c r="D82" i="6"/>
  <c r="D104" i="6"/>
  <c r="D84" i="4"/>
  <c r="D93" i="4"/>
  <c r="D94" i="4"/>
  <c r="D38" i="4"/>
  <c r="D95" i="4"/>
  <c r="D100" i="4"/>
  <c r="D56" i="4"/>
  <c r="D45" i="4"/>
  <c r="D52" i="4"/>
  <c r="D46" i="4"/>
  <c r="D136" i="4"/>
  <c r="D64" i="4"/>
  <c r="D129" i="4"/>
  <c r="D151" i="4"/>
  <c r="D88" i="4"/>
  <c r="D18" i="4"/>
  <c r="D82" i="4"/>
  <c r="D104" i="4"/>
  <c r="D110" i="4"/>
  <c r="D252" i="2"/>
  <c r="D93" i="2"/>
  <c r="D94" i="2"/>
  <c r="D34" i="2"/>
  <c r="D95" i="2"/>
  <c r="D105" i="2"/>
  <c r="D104" i="2"/>
  <c r="D83" i="2"/>
  <c r="D82" i="2"/>
  <c r="D61" i="2"/>
  <c r="D106" i="2"/>
  <c r="D84" i="2"/>
  <c r="D129" i="2"/>
  <c r="D151" i="2"/>
  <c r="D110" i="2"/>
  <c r="D22" i="2"/>
  <c r="D18" i="2"/>
  <c r="D88" i="2"/>
  <c r="D11" i="5"/>
  <c r="F11" i="5" s="1"/>
  <c r="D93" i="5"/>
  <c r="F93" i="5" s="1"/>
  <c r="D34" i="5"/>
  <c r="F34" i="5" s="1"/>
  <c r="D95" i="5"/>
  <c r="F95" i="5" s="1"/>
  <c r="D129" i="5"/>
  <c r="F129" i="5" s="1"/>
  <c r="D99" i="5"/>
  <c r="F99" i="5" s="1"/>
  <c r="D22" i="5"/>
  <c r="F22" i="5" s="1"/>
  <c r="D18" i="5"/>
  <c r="F18" i="5" s="1"/>
  <c r="D105" i="5"/>
  <c r="F105" i="5" s="1"/>
  <c r="D104" i="5"/>
  <c r="F104" i="5" s="1"/>
  <c r="D110" i="5"/>
  <c r="F110" i="5" s="1"/>
  <c r="D83" i="5"/>
  <c r="F83" i="5" s="1"/>
  <c r="D82" i="5"/>
  <c r="F82" i="5" s="1"/>
  <c r="D88" i="5"/>
  <c r="F88" i="5" s="1"/>
  <c r="D158" i="5"/>
  <c r="F158" i="5" s="1"/>
  <c r="D65" i="5"/>
  <c r="F65" i="5" s="1"/>
  <c r="D106" i="5"/>
  <c r="F106" i="5" s="1"/>
  <c r="D84" i="5"/>
  <c r="F84" i="5" s="1"/>
  <c r="D151" i="5"/>
  <c r="F151" i="5" s="1"/>
  <c r="D155" i="3"/>
  <c r="D95" i="3"/>
  <c r="D99" i="3"/>
  <c r="D110" i="3"/>
  <c r="D133" i="3"/>
  <c r="D61" i="3"/>
  <c r="D88" i="3"/>
  <c r="D93" i="3"/>
  <c r="D104" i="3"/>
  <c r="D105" i="3"/>
  <c r="D82" i="3"/>
  <c r="D83" i="3"/>
  <c r="D52" i="3"/>
  <c r="D38" i="3"/>
  <c r="D26" i="3"/>
  <c r="D253" i="3"/>
  <c r="D257" i="3"/>
  <c r="D262" i="3"/>
  <c r="D287" i="3"/>
  <c r="D281" i="3"/>
  <c r="D282" i="3"/>
  <c r="D245" i="5"/>
  <c r="D256" i="5"/>
  <c r="F256" i="5" s="1"/>
  <c r="D164" i="3"/>
  <c r="D165" i="3"/>
  <c r="D170" i="3"/>
  <c r="D180" i="3"/>
  <c r="D22" i="3"/>
  <c r="D235" i="3"/>
  <c r="D202" i="3"/>
  <c r="D203" i="3"/>
  <c r="D214" i="3"/>
  <c r="D224" i="3"/>
  <c r="D225" i="3"/>
  <c r="D286" i="5"/>
  <c r="F286" i="5" s="1"/>
  <c r="D252" i="5"/>
  <c r="F252" i="5" s="1"/>
  <c r="D261" i="5"/>
  <c r="D202" i="5"/>
  <c r="F202" i="5" s="1"/>
  <c r="D209" i="5"/>
  <c r="F209" i="5" s="1"/>
  <c r="D164" i="5"/>
  <c r="F164" i="5" s="1"/>
  <c r="D165" i="5"/>
  <c r="F165" i="5" s="1"/>
  <c r="D166" i="5"/>
  <c r="F166" i="5" s="1"/>
  <c r="D223" i="5"/>
  <c r="D175" i="5"/>
  <c r="F175" i="5" s="1"/>
  <c r="D224" i="5"/>
  <c r="D234" i="5"/>
  <c r="D201" i="5"/>
  <c r="F201" i="5" s="1"/>
  <c r="D281" i="2"/>
  <c r="D280" i="2"/>
  <c r="D261" i="2"/>
  <c r="D251" i="2"/>
  <c r="D285" i="2"/>
  <c r="D185" i="2"/>
  <c r="D210" i="4"/>
  <c r="D179" i="4"/>
  <c r="H179" i="4" s="1"/>
  <c r="D263" i="4"/>
  <c r="D164" i="6"/>
  <c r="D166" i="6"/>
  <c r="D280" i="6"/>
  <c r="D200" i="2"/>
  <c r="D164" i="2"/>
  <c r="D201" i="2"/>
  <c r="D165" i="2"/>
  <c r="D202" i="2"/>
  <c r="D166" i="2"/>
  <c r="D213" i="2"/>
  <c r="D269" i="4"/>
  <c r="D265" i="4"/>
  <c r="D254" i="4"/>
  <c r="D224" i="4"/>
  <c r="D258" i="4"/>
  <c r="H258" i="4" s="1"/>
  <c r="D202" i="4"/>
  <c r="D225" i="4"/>
  <c r="D203" i="4"/>
  <c r="D226" i="4"/>
  <c r="D235" i="4"/>
  <c r="D204" i="4"/>
  <c r="D266" i="4"/>
  <c r="D164" i="4"/>
  <c r="D165" i="4"/>
  <c r="D166" i="4"/>
  <c r="D179" i="6"/>
  <c r="D175" i="1"/>
  <c r="D213" i="1"/>
  <c r="D200" i="1"/>
  <c r="D164" i="1"/>
  <c r="D201" i="1"/>
  <c r="D165" i="1"/>
  <c r="D202" i="1"/>
  <c r="D166" i="1"/>
  <c r="D209" i="1"/>
  <c r="D56" i="3"/>
  <c r="D46" i="3"/>
  <c r="D57" i="3"/>
  <c r="D47" i="3"/>
  <c r="D188" i="3"/>
  <c r="D209" i="3"/>
  <c r="D201" i="3"/>
  <c r="D223" i="3"/>
  <c r="D185" i="5"/>
  <c r="F185" i="5" s="1"/>
  <c r="D208" i="5"/>
  <c r="F208" i="5" s="1"/>
  <c r="D200" i="5"/>
  <c r="F200" i="5" s="1"/>
  <c r="D222" i="5"/>
  <c r="D187" i="4"/>
  <c r="D188" i="6"/>
  <c r="D193" i="6"/>
  <c r="D189" i="6"/>
  <c r="D187" i="6"/>
  <c r="D194" i="6"/>
  <c r="D252" i="6"/>
  <c r="D256" i="6"/>
  <c r="D251" i="6"/>
  <c r="D201" i="6"/>
  <c r="D223" i="6"/>
  <c r="D234" i="6"/>
  <c r="D165" i="6"/>
  <c r="D202" i="6"/>
  <c r="D213" i="6"/>
  <c r="D224" i="6"/>
  <c r="D208" i="6"/>
  <c r="D200" i="6"/>
  <c r="D222" i="6"/>
  <c r="D185" i="1"/>
  <c r="D252" i="1"/>
  <c r="D251" i="1"/>
  <c r="D175" i="2"/>
  <c r="D208" i="2"/>
  <c r="H136" i="2" l="1"/>
  <c r="J136" i="2"/>
  <c r="F136" i="2"/>
  <c r="H285" i="2"/>
  <c r="J285" i="2"/>
  <c r="F285" i="2"/>
  <c r="H251" i="2"/>
  <c r="J251" i="2"/>
  <c r="F251" i="2"/>
  <c r="H201" i="2"/>
  <c r="J201" i="2"/>
  <c r="F201" i="2"/>
  <c r="H335" i="2"/>
  <c r="J335" i="2"/>
  <c r="F335" i="2"/>
  <c r="H95" i="2"/>
  <c r="J95" i="2"/>
  <c r="F95" i="2"/>
  <c r="H106" i="2"/>
  <c r="J106" i="2"/>
  <c r="F106" i="2"/>
  <c r="H140" i="2"/>
  <c r="J140" i="2"/>
  <c r="F140" i="2"/>
  <c r="H244" i="2"/>
  <c r="J244" i="2"/>
  <c r="F244" i="2"/>
  <c r="H155" i="2"/>
  <c r="J155" i="2"/>
  <c r="F155" i="2"/>
  <c r="H166" i="2"/>
  <c r="J166" i="2"/>
  <c r="F166" i="2"/>
  <c r="J185" i="2"/>
  <c r="F185" i="2"/>
  <c r="H88" i="2"/>
  <c r="J88" i="2"/>
  <c r="F88" i="2"/>
  <c r="H104" i="2"/>
  <c r="J104" i="2"/>
  <c r="F104" i="2"/>
  <c r="H133" i="2"/>
  <c r="J133" i="2"/>
  <c r="F133" i="2"/>
  <c r="J256" i="2"/>
  <c r="F256" i="2"/>
  <c r="J337" i="2"/>
  <c r="H202" i="2"/>
  <c r="J202" i="2"/>
  <c r="F202" i="2"/>
  <c r="H105" i="2"/>
  <c r="J105" i="2"/>
  <c r="F105" i="2"/>
  <c r="H239" i="2"/>
  <c r="J239" i="2"/>
  <c r="F239" i="2"/>
  <c r="H7" i="2"/>
  <c r="J7" i="2"/>
  <c r="F7" i="2"/>
  <c r="H165" i="2"/>
  <c r="J165" i="2"/>
  <c r="F165" i="2"/>
  <c r="H22" i="2"/>
  <c r="J22" i="2"/>
  <c r="F22" i="2"/>
  <c r="D223" i="2"/>
  <c r="J219" i="2"/>
  <c r="F219" i="2"/>
  <c r="H240" i="2"/>
  <c r="J240" i="2"/>
  <c r="F240" i="2"/>
  <c r="H279" i="2"/>
  <c r="J279" i="2"/>
  <c r="F279" i="2"/>
  <c r="H179" i="2"/>
  <c r="J179" i="2"/>
  <c r="F179" i="2"/>
  <c r="H38" i="2"/>
  <c r="J38" i="2"/>
  <c r="F38" i="2"/>
  <c r="J261" i="2"/>
  <c r="F261" i="2"/>
  <c r="H110" i="2"/>
  <c r="J110" i="2"/>
  <c r="F110" i="2"/>
  <c r="H34" i="2"/>
  <c r="J34" i="2"/>
  <c r="F34" i="2"/>
  <c r="H164" i="2"/>
  <c r="J164" i="2"/>
  <c r="F164" i="2"/>
  <c r="H280" i="2"/>
  <c r="J280" i="2"/>
  <c r="F280" i="2"/>
  <c r="H94" i="2"/>
  <c r="J94" i="2"/>
  <c r="F94" i="2"/>
  <c r="J99" i="2"/>
  <c r="F99" i="2"/>
  <c r="H123" i="2"/>
  <c r="J123" i="2"/>
  <c r="F123" i="2"/>
  <c r="H209" i="2"/>
  <c r="J209" i="2"/>
  <c r="F209" i="2"/>
  <c r="H200" i="2"/>
  <c r="J200" i="2"/>
  <c r="F200" i="2"/>
  <c r="H129" i="2"/>
  <c r="J129" i="2"/>
  <c r="F129" i="2"/>
  <c r="H93" i="2"/>
  <c r="J93" i="2"/>
  <c r="F93" i="2"/>
  <c r="H84" i="2"/>
  <c r="J84" i="2"/>
  <c r="F84" i="2"/>
  <c r="H252" i="2"/>
  <c r="J252" i="2"/>
  <c r="F252" i="2"/>
  <c r="H43" i="2"/>
  <c r="J43" i="2"/>
  <c r="F43" i="2"/>
  <c r="J170" i="2"/>
  <c r="F170" i="2"/>
  <c r="H208" i="2"/>
  <c r="J208" i="2"/>
  <c r="F208" i="2"/>
  <c r="H61" i="2"/>
  <c r="J61" i="2"/>
  <c r="F61" i="2"/>
  <c r="H326" i="2"/>
  <c r="J326" i="2"/>
  <c r="F326" i="2"/>
  <c r="H315" i="2"/>
  <c r="J315" i="2"/>
  <c r="F315" i="2"/>
  <c r="J12" i="2"/>
  <c r="F12" i="2"/>
  <c r="H18" i="2"/>
  <c r="J18" i="2"/>
  <c r="F18" i="2"/>
  <c r="H151" i="2"/>
  <c r="J151" i="2"/>
  <c r="F151" i="2"/>
  <c r="H281" i="2"/>
  <c r="J281" i="2"/>
  <c r="F281" i="2"/>
  <c r="H175" i="2"/>
  <c r="J175" i="2"/>
  <c r="F175" i="2"/>
  <c r="H82" i="2"/>
  <c r="J82" i="2"/>
  <c r="F82" i="2"/>
  <c r="H221" i="2"/>
  <c r="J221" i="2"/>
  <c r="F221" i="2"/>
  <c r="D204" i="2"/>
  <c r="J213" i="2"/>
  <c r="F213" i="2"/>
  <c r="H83" i="2"/>
  <c r="J83" i="2"/>
  <c r="F83" i="2"/>
  <c r="J290" i="2"/>
  <c r="F290" i="2"/>
  <c r="F337" i="2"/>
  <c r="D45" i="5"/>
  <c r="F45" i="5" s="1"/>
  <c r="F43" i="5"/>
  <c r="D180" i="5"/>
  <c r="F180" i="5" s="1"/>
  <c r="F179" i="5"/>
  <c r="D70" i="5"/>
  <c r="F70" i="5" s="1"/>
  <c r="F61" i="5"/>
  <c r="D47" i="5"/>
  <c r="F47" i="5" s="1"/>
  <c r="D52" i="5"/>
  <c r="H19" i="7"/>
  <c r="J19" i="7"/>
  <c r="H64" i="7"/>
  <c r="J64" i="7"/>
  <c r="H40" i="7"/>
  <c r="J40" i="7"/>
  <c r="H103" i="7"/>
  <c r="J103" i="7"/>
  <c r="D45" i="7"/>
  <c r="H44" i="7"/>
  <c r="J44" i="7"/>
  <c r="H10" i="7"/>
  <c r="J10" i="7"/>
  <c r="D90" i="7"/>
  <c r="H91" i="7"/>
  <c r="J91" i="7"/>
  <c r="D79" i="7"/>
  <c r="H72" i="7"/>
  <c r="J72" i="7"/>
  <c r="H53" i="7"/>
  <c r="J53" i="7"/>
  <c r="H74" i="7"/>
  <c r="J74" i="7"/>
  <c r="D24" i="7"/>
  <c r="H18" i="7"/>
  <c r="J18" i="7"/>
  <c r="H9" i="7"/>
  <c r="J9" i="7"/>
  <c r="D22" i="7"/>
  <c r="H8" i="7"/>
  <c r="J8" i="7"/>
  <c r="D21" i="7"/>
  <c r="D14" i="7"/>
  <c r="H13" i="7"/>
  <c r="J13" i="7"/>
  <c r="H98" i="7"/>
  <c r="J98" i="7"/>
  <c r="D23" i="7"/>
  <c r="D33" i="7"/>
  <c r="H86" i="7"/>
  <c r="J86" i="7"/>
  <c r="H121" i="7"/>
  <c r="J121" i="7"/>
  <c r="H104" i="7"/>
  <c r="J104" i="7"/>
  <c r="H50" i="7"/>
  <c r="J50" i="7"/>
  <c r="H41" i="7"/>
  <c r="J41" i="7"/>
  <c r="H112" i="7"/>
  <c r="J112" i="7"/>
  <c r="H120" i="7"/>
  <c r="J120" i="7"/>
  <c r="D55" i="7"/>
  <c r="H49" i="7"/>
  <c r="J49" i="7"/>
  <c r="H39" i="7"/>
  <c r="J39" i="7"/>
  <c r="H84" i="7"/>
  <c r="J84" i="7"/>
  <c r="H54" i="7"/>
  <c r="J54" i="7"/>
  <c r="D52" i="7"/>
  <c r="H106" i="7"/>
  <c r="J106" i="7"/>
  <c r="D194" i="3"/>
  <c r="D297" i="3"/>
  <c r="H297" i="3" s="1"/>
  <c r="D300" i="3"/>
  <c r="H300" i="3" s="1"/>
  <c r="D296" i="3"/>
  <c r="H301" i="3"/>
  <c r="J301" i="3"/>
  <c r="H123" i="3"/>
  <c r="J123" i="3"/>
  <c r="H18" i="3"/>
  <c r="J18" i="3"/>
  <c r="D181" i="3"/>
  <c r="H180" i="3"/>
  <c r="J180" i="3"/>
  <c r="H296" i="3"/>
  <c r="J296" i="3"/>
  <c r="H328" i="3"/>
  <c r="J328" i="3"/>
  <c r="H46" i="3"/>
  <c r="J46" i="3"/>
  <c r="H224" i="3"/>
  <c r="J224" i="3"/>
  <c r="H83" i="3"/>
  <c r="J83" i="3"/>
  <c r="D299" i="3"/>
  <c r="H7" i="3"/>
  <c r="J7" i="3"/>
  <c r="D11" i="3"/>
  <c r="H12" i="3"/>
  <c r="J12" i="3"/>
  <c r="H133" i="3"/>
  <c r="J133" i="3"/>
  <c r="H26" i="3"/>
  <c r="J26" i="3"/>
  <c r="D171" i="3"/>
  <c r="H170" i="3"/>
  <c r="J170" i="3"/>
  <c r="H47" i="3"/>
  <c r="J47" i="3"/>
  <c r="H56" i="3"/>
  <c r="J56" i="3"/>
  <c r="D215" i="3"/>
  <c r="H214" i="3"/>
  <c r="J214" i="3"/>
  <c r="H82" i="3"/>
  <c r="J82" i="3"/>
  <c r="H94" i="3"/>
  <c r="J94" i="3"/>
  <c r="H166" i="3"/>
  <c r="J166" i="3"/>
  <c r="H129" i="3"/>
  <c r="J129" i="3"/>
  <c r="H194" i="3"/>
  <c r="J194" i="3"/>
  <c r="D275" i="3"/>
  <c r="H262" i="3"/>
  <c r="J262" i="3"/>
  <c r="D89" i="3"/>
  <c r="H88" i="3"/>
  <c r="J88" i="3"/>
  <c r="D205" i="3"/>
  <c r="H210" i="3"/>
  <c r="J210" i="3"/>
  <c r="H201" i="3"/>
  <c r="J201" i="3"/>
  <c r="H22" i="3"/>
  <c r="J22" i="3"/>
  <c r="D258" i="3"/>
  <c r="H257" i="3"/>
  <c r="J257" i="3"/>
  <c r="D74" i="3"/>
  <c r="H61" i="3"/>
  <c r="J61" i="3"/>
  <c r="J297" i="3"/>
  <c r="H209" i="3"/>
  <c r="J209" i="3"/>
  <c r="H253" i="3"/>
  <c r="J253" i="3"/>
  <c r="J300" i="3"/>
  <c r="H292" i="3"/>
  <c r="J292" i="3"/>
  <c r="D195" i="3"/>
  <c r="H186" i="3"/>
  <c r="J186" i="3"/>
  <c r="H176" i="3"/>
  <c r="J176" i="3"/>
  <c r="D189" i="3"/>
  <c r="D63" i="3"/>
  <c r="D100" i="3"/>
  <c r="H99" i="3"/>
  <c r="J99" i="3"/>
  <c r="H317" i="3"/>
  <c r="J317" i="3"/>
  <c r="D294" i="3"/>
  <c r="H165" i="3"/>
  <c r="J165" i="3"/>
  <c r="D295" i="3"/>
  <c r="H151" i="3"/>
  <c r="J151" i="3"/>
  <c r="H234" i="3"/>
  <c r="J234" i="3"/>
  <c r="H246" i="3"/>
  <c r="J246" i="3"/>
  <c r="H57" i="3"/>
  <c r="J57" i="3"/>
  <c r="H164" i="3"/>
  <c r="J164" i="3"/>
  <c r="D48" i="3"/>
  <c r="H52" i="3"/>
  <c r="J52" i="3"/>
  <c r="D158" i="3"/>
  <c r="H155" i="3"/>
  <c r="J155" i="3"/>
  <c r="D306" i="3"/>
  <c r="H84" i="3"/>
  <c r="J84" i="3"/>
  <c r="H203" i="3"/>
  <c r="J203" i="3"/>
  <c r="H282" i="3"/>
  <c r="J282" i="3"/>
  <c r="H105" i="3"/>
  <c r="J105" i="3"/>
  <c r="D298" i="3"/>
  <c r="H140" i="3"/>
  <c r="J140" i="3"/>
  <c r="H223" i="3"/>
  <c r="J223" i="3"/>
  <c r="H190" i="3"/>
  <c r="J190" i="3"/>
  <c r="H34" i="3"/>
  <c r="J34" i="3"/>
  <c r="H188" i="3"/>
  <c r="J188" i="3"/>
  <c r="D111" i="3"/>
  <c r="H110" i="3"/>
  <c r="J110" i="3"/>
  <c r="H38" i="3"/>
  <c r="J38" i="3"/>
  <c r="H202" i="3"/>
  <c r="J202" i="3"/>
  <c r="H281" i="3"/>
  <c r="J281" i="3"/>
  <c r="H104" i="3"/>
  <c r="J104" i="3"/>
  <c r="H95" i="3"/>
  <c r="J95" i="3"/>
  <c r="H225" i="3"/>
  <c r="J225" i="3"/>
  <c r="H235" i="3"/>
  <c r="J235" i="3"/>
  <c r="H287" i="3"/>
  <c r="J287" i="3"/>
  <c r="H93" i="3"/>
  <c r="J93" i="3"/>
  <c r="D45" i="3"/>
  <c r="H43" i="3"/>
  <c r="J43" i="3"/>
  <c r="H106" i="3"/>
  <c r="J106" i="3"/>
  <c r="J166" i="5"/>
  <c r="J106" i="5"/>
  <c r="J110" i="5"/>
  <c r="J93" i="5"/>
  <c r="J165" i="5"/>
  <c r="J65" i="5"/>
  <c r="J104" i="5"/>
  <c r="J11" i="5"/>
  <c r="J286" i="5"/>
  <c r="J233" i="5"/>
  <c r="J200" i="5"/>
  <c r="J234" i="5"/>
  <c r="J83" i="5"/>
  <c r="D100" i="5"/>
  <c r="F100" i="5" s="1"/>
  <c r="J99" i="5"/>
  <c r="J280" i="5"/>
  <c r="D171" i="5"/>
  <c r="F171" i="5" s="1"/>
  <c r="J170" i="5"/>
  <c r="J208" i="5"/>
  <c r="J224" i="5"/>
  <c r="J256" i="5"/>
  <c r="J151" i="5"/>
  <c r="J129" i="5"/>
  <c r="J179" i="5"/>
  <c r="J12" i="5"/>
  <c r="D75" i="5"/>
  <c r="F75" i="5" s="1"/>
  <c r="J61" i="5"/>
  <c r="J164" i="5"/>
  <c r="J47" i="5"/>
  <c r="J105" i="5"/>
  <c r="J282" i="5"/>
  <c r="D204" i="5"/>
  <c r="F204" i="5" s="1"/>
  <c r="J209" i="5"/>
  <c r="J158" i="5"/>
  <c r="J281" i="5"/>
  <c r="J140" i="5"/>
  <c r="J133" i="5"/>
  <c r="J202" i="5"/>
  <c r="D64" i="5"/>
  <c r="F64" i="5" s="1"/>
  <c r="J45" i="5"/>
  <c r="J341" i="5"/>
  <c r="D214" i="5"/>
  <c r="F214" i="5" s="1"/>
  <c r="J213" i="5"/>
  <c r="D57" i="5"/>
  <c r="F57" i="5" s="1"/>
  <c r="J43" i="5"/>
  <c r="J261" i="5"/>
  <c r="D46" i="5"/>
  <c r="F46" i="5" s="1"/>
  <c r="D56" i="5"/>
  <c r="F56" i="5" s="1"/>
  <c r="J339" i="5"/>
  <c r="J251" i="5"/>
  <c r="J252" i="5"/>
  <c r="J88" i="5"/>
  <c r="J18" i="5"/>
  <c r="J123" i="5"/>
  <c r="J94" i="5"/>
  <c r="J222" i="5"/>
  <c r="J201" i="5"/>
  <c r="J82" i="5"/>
  <c r="J22" i="5"/>
  <c r="D350" i="5"/>
  <c r="F350" i="5" s="1"/>
  <c r="J349" i="5"/>
  <c r="J185" i="5"/>
  <c r="J175" i="5"/>
  <c r="J245" i="5"/>
  <c r="J84" i="5"/>
  <c r="D74" i="5"/>
  <c r="F74" i="5" s="1"/>
  <c r="J95" i="5"/>
  <c r="J7" i="5"/>
  <c r="J155" i="5"/>
  <c r="J180" i="5"/>
  <c r="J223" i="5"/>
  <c r="D136" i="5"/>
  <c r="F136" i="5" s="1"/>
  <c r="D63" i="5"/>
  <c r="F63" i="5" s="1"/>
  <c r="J34" i="5"/>
  <c r="J32" i="5" s="1"/>
  <c r="D296" i="5"/>
  <c r="F296" i="5" s="1"/>
  <c r="J291" i="5"/>
  <c r="J327" i="5"/>
  <c r="J316" i="5"/>
  <c r="J336" i="5"/>
  <c r="D224" i="2"/>
  <c r="D180" i="2"/>
  <c r="D158" i="2"/>
  <c r="D214" i="2"/>
  <c r="H213" i="2"/>
  <c r="D47" i="2"/>
  <c r="D11" i="2"/>
  <c r="H12" i="2"/>
  <c r="D257" i="2"/>
  <c r="H256" i="2"/>
  <c r="D171" i="2"/>
  <c r="H170" i="2"/>
  <c r="D188" i="2"/>
  <c r="H185" i="2"/>
  <c r="D46" i="2"/>
  <c r="D233" i="2"/>
  <c r="H219" i="2"/>
  <c r="D294" i="2"/>
  <c r="D52" i="2"/>
  <c r="D45" i="2"/>
  <c r="D245" i="2"/>
  <c r="D56" i="2"/>
  <c r="D57" i="2"/>
  <c r="D234" i="2"/>
  <c r="D100" i="2"/>
  <c r="H99" i="2"/>
  <c r="J187" i="4"/>
  <c r="H187" i="4"/>
  <c r="J202" i="4"/>
  <c r="H202" i="4"/>
  <c r="J64" i="4"/>
  <c r="H64" i="4"/>
  <c r="J155" i="4"/>
  <c r="H155" i="4"/>
  <c r="J106" i="4"/>
  <c r="H106" i="4"/>
  <c r="J136" i="4"/>
  <c r="H136" i="4"/>
  <c r="J224" i="4"/>
  <c r="H224" i="4"/>
  <c r="J110" i="4"/>
  <c r="H110" i="4"/>
  <c r="J46" i="4"/>
  <c r="H46" i="4"/>
  <c r="J7" i="4"/>
  <c r="H7" i="4"/>
  <c r="J175" i="4"/>
  <c r="H175" i="4"/>
  <c r="J236" i="4"/>
  <c r="H236" i="4"/>
  <c r="J166" i="4"/>
  <c r="H166" i="4"/>
  <c r="J254" i="4"/>
  <c r="H254" i="4"/>
  <c r="J104" i="4"/>
  <c r="H104" i="4"/>
  <c r="J52" i="4"/>
  <c r="H52" i="4"/>
  <c r="J317" i="4"/>
  <c r="H317" i="4"/>
  <c r="J265" i="4"/>
  <c r="H265" i="4"/>
  <c r="J82" i="4"/>
  <c r="H82" i="4"/>
  <c r="J45" i="4"/>
  <c r="H45" i="4"/>
  <c r="J61" i="4"/>
  <c r="H61" i="4"/>
  <c r="J164" i="4"/>
  <c r="H164" i="4"/>
  <c r="J269" i="4"/>
  <c r="H269" i="4"/>
  <c r="J56" i="4"/>
  <c r="H56" i="4"/>
  <c r="J105" i="4"/>
  <c r="H105" i="4"/>
  <c r="J266" i="4"/>
  <c r="H266" i="4"/>
  <c r="J88" i="4"/>
  <c r="H88" i="4"/>
  <c r="J100" i="4"/>
  <c r="H100" i="4"/>
  <c r="J328" i="4"/>
  <c r="H328" i="4"/>
  <c r="J43" i="4"/>
  <c r="H43" i="4"/>
  <c r="J204" i="4"/>
  <c r="H204" i="4"/>
  <c r="J263" i="4"/>
  <c r="J151" i="4"/>
  <c r="H151" i="4"/>
  <c r="J95" i="4"/>
  <c r="H95" i="4"/>
  <c r="J235" i="4"/>
  <c r="H235" i="4"/>
  <c r="J129" i="4"/>
  <c r="H129" i="4"/>
  <c r="J38" i="4"/>
  <c r="H38" i="4"/>
  <c r="J22" i="4"/>
  <c r="H22" i="4"/>
  <c r="J123" i="4"/>
  <c r="H123" i="4"/>
  <c r="J226" i="4"/>
  <c r="H226" i="4"/>
  <c r="J210" i="4"/>
  <c r="H210" i="4"/>
  <c r="D158" i="4"/>
  <c r="J94" i="4"/>
  <c r="H94" i="4"/>
  <c r="D74" i="4"/>
  <c r="J93" i="4"/>
  <c r="H93" i="4"/>
  <c r="J34" i="4"/>
  <c r="H34" i="4"/>
  <c r="J247" i="4"/>
  <c r="H247" i="4"/>
  <c r="J165" i="4"/>
  <c r="H165" i="4"/>
  <c r="J18" i="4"/>
  <c r="H18" i="4"/>
  <c r="J203" i="4"/>
  <c r="H203" i="4"/>
  <c r="J225" i="4"/>
  <c r="H225" i="4"/>
  <c r="D70" i="4"/>
  <c r="J84" i="4"/>
  <c r="H84" i="4"/>
  <c r="H234" i="6"/>
  <c r="J234" i="6"/>
  <c r="H188" i="6"/>
  <c r="J188" i="6"/>
  <c r="H65" i="6"/>
  <c r="J65" i="6"/>
  <c r="D286" i="6"/>
  <c r="H285" i="6"/>
  <c r="J285" i="6"/>
  <c r="H261" i="6"/>
  <c r="J261" i="6"/>
  <c r="H38" i="6"/>
  <c r="J38" i="6"/>
  <c r="H223" i="6"/>
  <c r="J223" i="6"/>
  <c r="H7" i="6"/>
  <c r="J7" i="6"/>
  <c r="H95" i="6"/>
  <c r="J95" i="6"/>
  <c r="H200" i="6"/>
  <c r="J200" i="6"/>
  <c r="H201" i="6"/>
  <c r="J201" i="6"/>
  <c r="D265" i="6"/>
  <c r="H133" i="6"/>
  <c r="J133" i="6"/>
  <c r="H47" i="6"/>
  <c r="J47" i="6"/>
  <c r="H140" i="6"/>
  <c r="J140" i="6"/>
  <c r="H22" i="6"/>
  <c r="J22" i="6"/>
  <c r="D263" i="6"/>
  <c r="H251" i="6"/>
  <c r="J251" i="6"/>
  <c r="D180" i="6"/>
  <c r="H179" i="6"/>
  <c r="J179" i="6"/>
  <c r="H104" i="6"/>
  <c r="J104" i="6"/>
  <c r="H70" i="6"/>
  <c r="J70" i="6"/>
  <c r="H46" i="6"/>
  <c r="J46" i="6"/>
  <c r="H209" i="6"/>
  <c r="J209" i="6"/>
  <c r="H175" i="6"/>
  <c r="J175" i="6"/>
  <c r="H208" i="6"/>
  <c r="J208" i="6"/>
  <c r="H256" i="6"/>
  <c r="J256" i="6"/>
  <c r="H82" i="6"/>
  <c r="J82" i="6"/>
  <c r="H63" i="6"/>
  <c r="J63" i="6"/>
  <c r="H93" i="6"/>
  <c r="J93" i="6"/>
  <c r="H105" i="6"/>
  <c r="J105" i="6"/>
  <c r="H123" i="6"/>
  <c r="J123" i="6"/>
  <c r="D266" i="6"/>
  <c r="H252" i="6"/>
  <c r="J252" i="6"/>
  <c r="D267" i="6"/>
  <c r="H18" i="6"/>
  <c r="J18" i="6"/>
  <c r="H74" i="6"/>
  <c r="J74" i="6"/>
  <c r="H34" i="6"/>
  <c r="J34" i="6"/>
  <c r="H326" i="6"/>
  <c r="J326" i="6"/>
  <c r="H224" i="6"/>
  <c r="J224" i="6"/>
  <c r="D204" i="6"/>
  <c r="D273" i="6"/>
  <c r="H110" i="6"/>
  <c r="J110" i="6"/>
  <c r="H64" i="6"/>
  <c r="J64" i="6"/>
  <c r="H84" i="6"/>
  <c r="J84" i="6"/>
  <c r="D315" i="6"/>
  <c r="H314" i="6"/>
  <c r="J314" i="6"/>
  <c r="H233" i="6"/>
  <c r="J233" i="6"/>
  <c r="H213" i="6"/>
  <c r="J213" i="6"/>
  <c r="H194" i="6"/>
  <c r="J194" i="6"/>
  <c r="H280" i="6"/>
  <c r="J280" i="6"/>
  <c r="H88" i="6"/>
  <c r="J88" i="6"/>
  <c r="H75" i="6"/>
  <c r="J75" i="6"/>
  <c r="H106" i="6"/>
  <c r="J106" i="6"/>
  <c r="H304" i="6"/>
  <c r="J304" i="6"/>
  <c r="H245" i="6"/>
  <c r="J245" i="6"/>
  <c r="D100" i="6"/>
  <c r="H99" i="6"/>
  <c r="J99" i="6"/>
  <c r="H202" i="6"/>
  <c r="J202" i="6"/>
  <c r="H187" i="6"/>
  <c r="J187" i="6"/>
  <c r="H166" i="6"/>
  <c r="J166" i="6"/>
  <c r="H52" i="6"/>
  <c r="J52" i="6"/>
  <c r="H151" i="6"/>
  <c r="J151" i="6"/>
  <c r="D298" i="6"/>
  <c r="H290" i="6"/>
  <c r="J290" i="6"/>
  <c r="D57" i="6"/>
  <c r="H43" i="6"/>
  <c r="J43" i="6"/>
  <c r="D11" i="6"/>
  <c r="H12" i="6"/>
  <c r="J12" i="6"/>
  <c r="H165" i="6"/>
  <c r="J165" i="6"/>
  <c r="H189" i="6"/>
  <c r="J189" i="6"/>
  <c r="H164" i="6"/>
  <c r="J164" i="6"/>
  <c r="D45" i="6"/>
  <c r="H155" i="6"/>
  <c r="J155" i="6"/>
  <c r="H61" i="6"/>
  <c r="J61" i="6"/>
  <c r="D264" i="6"/>
  <c r="H193" i="6"/>
  <c r="J193" i="6"/>
  <c r="D56" i="6"/>
  <c r="H94" i="6"/>
  <c r="J94" i="6"/>
  <c r="D279" i="6"/>
  <c r="H277" i="6"/>
  <c r="J277" i="6"/>
  <c r="H83" i="6"/>
  <c r="J83" i="6"/>
  <c r="D171" i="6"/>
  <c r="H170" i="6"/>
  <c r="J170" i="6"/>
  <c r="H222" i="6"/>
  <c r="J222" i="6"/>
  <c r="D268" i="6"/>
  <c r="H129" i="6"/>
  <c r="J129" i="6"/>
  <c r="H281" i="6"/>
  <c r="J281" i="6"/>
  <c r="H185" i="6"/>
  <c r="J185" i="6"/>
  <c r="D52" i="1"/>
  <c r="D57" i="1"/>
  <c r="D203" i="1"/>
  <c r="D158" i="1"/>
  <c r="D47" i="1"/>
  <c r="D46" i="1"/>
  <c r="D45" i="1"/>
  <c r="D234" i="1"/>
  <c r="J158" i="1"/>
  <c r="J166" i="1"/>
  <c r="J110" i="1"/>
  <c r="J251" i="1"/>
  <c r="J56" i="1"/>
  <c r="J315" i="1"/>
  <c r="J213" i="1"/>
  <c r="J104" i="1"/>
  <c r="J105" i="1"/>
  <c r="D257" i="1"/>
  <c r="J256" i="1"/>
  <c r="J140" i="1"/>
  <c r="J324" i="1"/>
  <c r="J133" i="1"/>
  <c r="J175" i="1"/>
  <c r="J52" i="1"/>
  <c r="D233" i="1"/>
  <c r="J219" i="1"/>
  <c r="J179" i="1"/>
  <c r="J279" i="1"/>
  <c r="D285" i="1"/>
  <c r="J277" i="1"/>
  <c r="J83" i="1"/>
  <c r="J224" i="1"/>
  <c r="D229" i="1"/>
  <c r="J151" i="1"/>
  <c r="J34" i="1"/>
  <c r="J240" i="1"/>
  <c r="J99" i="1"/>
  <c r="J57" i="1"/>
  <c r="J252" i="1"/>
  <c r="J201" i="1"/>
  <c r="J129" i="1"/>
  <c r="J95" i="1"/>
  <c r="D245" i="1"/>
  <c r="J244" i="1"/>
  <c r="J123" i="1"/>
  <c r="J239" i="1"/>
  <c r="J314" i="1"/>
  <c r="J93" i="1"/>
  <c r="J221" i="1"/>
  <c r="J335" i="1"/>
  <c r="D171" i="1"/>
  <c r="J170" i="1"/>
  <c r="D11" i="1"/>
  <c r="J12" i="1"/>
  <c r="D266" i="1"/>
  <c r="J261" i="1"/>
  <c r="J208" i="1"/>
  <c r="D223" i="1"/>
  <c r="J7" i="1"/>
  <c r="J165" i="1"/>
  <c r="J185" i="1"/>
  <c r="D222" i="1"/>
  <c r="D100" i="1"/>
  <c r="J94" i="1"/>
  <c r="J38" i="1"/>
  <c r="J43" i="1"/>
  <c r="J209" i="1"/>
  <c r="J82" i="1"/>
  <c r="J22" i="1"/>
  <c r="J18" i="1"/>
  <c r="D228" i="1"/>
  <c r="J88" i="1"/>
  <c r="J155" i="1"/>
  <c r="J202" i="1"/>
  <c r="D180" i="1"/>
  <c r="J164" i="1"/>
  <c r="J200" i="1"/>
  <c r="J61" i="1"/>
  <c r="D136" i="1"/>
  <c r="J84" i="1"/>
  <c r="J106" i="1"/>
  <c r="D206" i="4"/>
  <c r="J211" i="4"/>
  <c r="D180" i="4"/>
  <c r="J179" i="4"/>
  <c r="D171" i="4"/>
  <c r="J170" i="4"/>
  <c r="D65" i="4"/>
  <c r="D259" i="4"/>
  <c r="J258" i="4"/>
  <c r="D63" i="4"/>
  <c r="D75" i="4"/>
  <c r="D216" i="4"/>
  <c r="H216" i="4" s="1"/>
  <c r="J215" i="4"/>
  <c r="J12" i="4"/>
  <c r="D11" i="4"/>
  <c r="D47" i="4"/>
  <c r="D57" i="4"/>
  <c r="D299" i="5"/>
  <c r="F299" i="5" s="1"/>
  <c r="D295" i="5"/>
  <c r="F295" i="5" s="1"/>
  <c r="D298" i="2"/>
  <c r="D281" i="1"/>
  <c r="D280" i="1"/>
  <c r="D290" i="1"/>
  <c r="D295" i="1" s="1"/>
  <c r="D65" i="3"/>
  <c r="D270" i="4"/>
  <c r="D279" i="4"/>
  <c r="D64" i="3"/>
  <c r="D37" i="9"/>
  <c r="D116" i="7"/>
  <c r="D13" i="9"/>
  <c r="D17" i="9"/>
  <c r="D5" i="9"/>
  <c r="D28" i="9"/>
  <c r="D15" i="9"/>
  <c r="D32" i="9"/>
  <c r="D16" i="9"/>
  <c r="D105" i="7"/>
  <c r="D107" i="7"/>
  <c r="D345" i="5"/>
  <c r="F345" i="5" s="1"/>
  <c r="D343" i="5"/>
  <c r="F343" i="5" s="1"/>
  <c r="D344" i="5"/>
  <c r="F344" i="5" s="1"/>
  <c r="D342" i="5"/>
  <c r="F342" i="5" s="1"/>
  <c r="D305" i="5"/>
  <c r="F305" i="5" s="1"/>
  <c r="D300" i="5"/>
  <c r="F300" i="5" s="1"/>
  <c r="D297" i="5"/>
  <c r="F297" i="5" s="1"/>
  <c r="D33" i="9"/>
  <c r="D36" i="9"/>
  <c r="D10" i="9"/>
  <c r="D35" i="9"/>
  <c r="D34" i="9"/>
  <c r="D8" i="9"/>
  <c r="D9" i="9"/>
  <c r="D293" i="5"/>
  <c r="F293" i="5" s="1"/>
  <c r="D294" i="5"/>
  <c r="F294" i="5" s="1"/>
  <c r="D298" i="5"/>
  <c r="F298" i="5" s="1"/>
  <c r="D222" i="2"/>
  <c r="D267" i="4"/>
  <c r="D294" i="6"/>
  <c r="D293" i="6"/>
  <c r="D299" i="6"/>
  <c r="D295" i="2"/>
  <c r="D296" i="2"/>
  <c r="D304" i="2"/>
  <c r="D293" i="2"/>
  <c r="D299" i="2"/>
  <c r="D297" i="2"/>
  <c r="D292" i="2"/>
  <c r="D297" i="6"/>
  <c r="D292" i="6"/>
  <c r="D295" i="6"/>
  <c r="D296" i="6"/>
  <c r="D303" i="6"/>
  <c r="D65" i="7"/>
  <c r="D59" i="7"/>
  <c r="D51" i="7"/>
  <c r="D20" i="7"/>
  <c r="D34" i="7"/>
  <c r="D28" i="7"/>
  <c r="D264" i="1"/>
  <c r="D58" i="1"/>
  <c r="D48" i="1"/>
  <c r="D268" i="1"/>
  <c r="D265" i="1"/>
  <c r="D263" i="1"/>
  <c r="D273" i="1"/>
  <c r="D267" i="1"/>
  <c r="D111" i="1"/>
  <c r="D75" i="1"/>
  <c r="D64" i="1"/>
  <c r="D74" i="1"/>
  <c r="D63" i="1"/>
  <c r="D70" i="1"/>
  <c r="D65" i="1"/>
  <c r="D89" i="1"/>
  <c r="D111" i="6"/>
  <c r="D136" i="6"/>
  <c r="D66" i="6"/>
  <c r="D76" i="6"/>
  <c r="D158" i="6"/>
  <c r="D89" i="6"/>
  <c r="D48" i="6"/>
  <c r="D58" i="6"/>
  <c r="D205" i="4"/>
  <c r="D66" i="4"/>
  <c r="D48" i="4"/>
  <c r="D58" i="4"/>
  <c r="D89" i="4"/>
  <c r="D144" i="4"/>
  <c r="D268" i="4"/>
  <c r="D111" i="4"/>
  <c r="D193" i="2"/>
  <c r="D189" i="2"/>
  <c r="D89" i="2"/>
  <c r="D144" i="2"/>
  <c r="D111" i="2"/>
  <c r="D187" i="2"/>
  <c r="D194" i="2"/>
  <c r="D75" i="2"/>
  <c r="D64" i="2"/>
  <c r="D74" i="2"/>
  <c r="D63" i="2"/>
  <c r="D70" i="2"/>
  <c r="D65" i="2"/>
  <c r="D229" i="3"/>
  <c r="D230" i="3"/>
  <c r="D89" i="5"/>
  <c r="F89" i="5" s="1"/>
  <c r="D111" i="5"/>
  <c r="F111" i="5" s="1"/>
  <c r="D70" i="3"/>
  <c r="D136" i="3"/>
  <c r="D75" i="3"/>
  <c r="D58" i="3"/>
  <c r="D266" i="3"/>
  <c r="D270" i="3"/>
  <c r="D268" i="3"/>
  <c r="D269" i="3"/>
  <c r="D265" i="3"/>
  <c r="D267" i="3"/>
  <c r="D288" i="3"/>
  <c r="D257" i="5"/>
  <c r="F257" i="5" s="1"/>
  <c r="D269" i="5"/>
  <c r="F269" i="5" s="1"/>
  <c r="D274" i="5"/>
  <c r="F274" i="5" s="1"/>
  <c r="D268" i="5"/>
  <c r="F268" i="5" s="1"/>
  <c r="D264" i="5"/>
  <c r="F264" i="5" s="1"/>
  <c r="D267" i="5"/>
  <c r="F267" i="5" s="1"/>
  <c r="D266" i="5"/>
  <c r="F266" i="5" s="1"/>
  <c r="D265" i="5"/>
  <c r="F265" i="5" s="1"/>
  <c r="D287" i="5"/>
  <c r="F287" i="5" s="1"/>
  <c r="D286" i="2"/>
  <c r="D267" i="2"/>
  <c r="D263" i="2"/>
  <c r="D266" i="2"/>
  <c r="D273" i="2"/>
  <c r="D265" i="2"/>
  <c r="D264" i="2"/>
  <c r="D268" i="2"/>
  <c r="D275" i="4"/>
  <c r="D272" i="6"/>
  <c r="D214" i="1"/>
  <c r="D204" i="1"/>
  <c r="D204" i="3"/>
  <c r="D194" i="5"/>
  <c r="F194" i="5" s="1"/>
  <c r="D188" i="5"/>
  <c r="F188" i="5" s="1"/>
  <c r="D187" i="5"/>
  <c r="F187" i="5" s="1"/>
  <c r="D189" i="5"/>
  <c r="F189" i="5" s="1"/>
  <c r="D193" i="5"/>
  <c r="F193" i="5" s="1"/>
  <c r="D203" i="5"/>
  <c r="F203" i="5" s="1"/>
  <c r="D189" i="4"/>
  <c r="D196" i="4"/>
  <c r="D195" i="4"/>
  <c r="D191" i="4"/>
  <c r="D190" i="4"/>
  <c r="D203" i="6"/>
  <c r="D257" i="6"/>
  <c r="D214" i="6"/>
  <c r="D188" i="1"/>
  <c r="D187" i="1"/>
  <c r="D194" i="1"/>
  <c r="D193" i="1"/>
  <c r="D189" i="1"/>
  <c r="D203" i="2"/>
  <c r="H257" i="2" l="1"/>
  <c r="J257" i="2"/>
  <c r="F257" i="2"/>
  <c r="H273" i="2"/>
  <c r="J273" i="2"/>
  <c r="F273" i="2"/>
  <c r="H75" i="2"/>
  <c r="J75" i="2"/>
  <c r="F75" i="2"/>
  <c r="H52" i="2"/>
  <c r="J52" i="2"/>
  <c r="F52" i="2"/>
  <c r="H11" i="2"/>
  <c r="J11" i="2"/>
  <c r="F11" i="2"/>
  <c r="H263" i="2"/>
  <c r="J263" i="2"/>
  <c r="F263" i="2"/>
  <c r="H187" i="2"/>
  <c r="J187" i="2"/>
  <c r="F187" i="2"/>
  <c r="H298" i="2"/>
  <c r="J298" i="2"/>
  <c r="F298" i="2"/>
  <c r="H47" i="2"/>
  <c r="J47" i="2"/>
  <c r="F47" i="2"/>
  <c r="H111" i="2"/>
  <c r="J111" i="2"/>
  <c r="F111" i="2"/>
  <c r="H144" i="2"/>
  <c r="J144" i="2"/>
  <c r="F144" i="2"/>
  <c r="D229" i="2"/>
  <c r="J214" i="2"/>
  <c r="F214" i="2"/>
  <c r="D58" i="2"/>
  <c r="H299" i="2"/>
  <c r="J299" i="2"/>
  <c r="F299" i="2"/>
  <c r="H46" i="2"/>
  <c r="J46" i="2"/>
  <c r="F46" i="2"/>
  <c r="H158" i="2"/>
  <c r="J158" i="2"/>
  <c r="F158" i="2"/>
  <c r="H223" i="2"/>
  <c r="J223" i="2"/>
  <c r="F223" i="2"/>
  <c r="H265" i="2"/>
  <c r="J265" i="2"/>
  <c r="F265" i="2"/>
  <c r="H45" i="2"/>
  <c r="J45" i="2"/>
  <c r="F45" i="2"/>
  <c r="H194" i="2"/>
  <c r="J194" i="2"/>
  <c r="F194" i="2"/>
  <c r="H222" i="2"/>
  <c r="J222" i="2"/>
  <c r="F222" i="2"/>
  <c r="H292" i="2"/>
  <c r="J292" i="2"/>
  <c r="F292" i="2"/>
  <c r="H286" i="2"/>
  <c r="J286" i="2"/>
  <c r="F286" i="2"/>
  <c r="H233" i="2"/>
  <c r="J233" i="2"/>
  <c r="F233" i="2"/>
  <c r="H89" i="2"/>
  <c r="J89" i="2"/>
  <c r="F89" i="2"/>
  <c r="D48" i="2"/>
  <c r="H189" i="2"/>
  <c r="J189" i="2"/>
  <c r="F189" i="2"/>
  <c r="H293" i="2"/>
  <c r="J293" i="2"/>
  <c r="F293" i="2"/>
  <c r="H100" i="2"/>
  <c r="J100" i="2"/>
  <c r="F100" i="2"/>
  <c r="H180" i="2"/>
  <c r="J180" i="2"/>
  <c r="F180" i="2"/>
  <c r="H64" i="2"/>
  <c r="J64" i="2"/>
  <c r="F64" i="2"/>
  <c r="H266" i="2"/>
  <c r="J266" i="2"/>
  <c r="F266" i="2"/>
  <c r="H294" i="2"/>
  <c r="J294" i="2"/>
  <c r="F294" i="2"/>
  <c r="H267" i="2"/>
  <c r="J267" i="2"/>
  <c r="F267" i="2"/>
  <c r="H297" i="2"/>
  <c r="J297" i="2"/>
  <c r="F297" i="2"/>
  <c r="H65" i="2"/>
  <c r="J65" i="2"/>
  <c r="F65" i="2"/>
  <c r="H193" i="2"/>
  <c r="J193" i="2"/>
  <c r="F193" i="2"/>
  <c r="H304" i="2"/>
  <c r="J304" i="2"/>
  <c r="F304" i="2"/>
  <c r="H234" i="2"/>
  <c r="J234" i="2"/>
  <c r="F234" i="2"/>
  <c r="H188" i="2"/>
  <c r="J188" i="2"/>
  <c r="F188" i="2"/>
  <c r="H224" i="2"/>
  <c r="J224" i="2"/>
  <c r="F224" i="2"/>
  <c r="H203" i="2"/>
  <c r="J203" i="2"/>
  <c r="F203" i="2"/>
  <c r="H70" i="2"/>
  <c r="J70" i="2"/>
  <c r="F70" i="2"/>
  <c r="H296" i="2"/>
  <c r="J296" i="2"/>
  <c r="F296" i="2"/>
  <c r="H57" i="2"/>
  <c r="J57" i="2"/>
  <c r="F57" i="2"/>
  <c r="H204" i="2"/>
  <c r="J204" i="2"/>
  <c r="F204" i="2"/>
  <c r="H268" i="2"/>
  <c r="J268" i="2"/>
  <c r="F268" i="2"/>
  <c r="H63" i="2"/>
  <c r="J63" i="2"/>
  <c r="F63" i="2"/>
  <c r="H295" i="2"/>
  <c r="J295" i="2"/>
  <c r="F295" i="2"/>
  <c r="H56" i="2"/>
  <c r="J56" i="2"/>
  <c r="F56" i="2"/>
  <c r="H171" i="2"/>
  <c r="J171" i="2"/>
  <c r="F171" i="2"/>
  <c r="H264" i="2"/>
  <c r="J264" i="2"/>
  <c r="F264" i="2"/>
  <c r="H74" i="2"/>
  <c r="J74" i="2"/>
  <c r="F74" i="2"/>
  <c r="H245" i="2"/>
  <c r="J245" i="2"/>
  <c r="F245" i="2"/>
  <c r="J70" i="5"/>
  <c r="D48" i="5"/>
  <c r="F48" i="5" s="1"/>
  <c r="F52" i="5"/>
  <c r="D66" i="5"/>
  <c r="F66" i="5" s="1"/>
  <c r="D58" i="5"/>
  <c r="F58" i="5" s="1"/>
  <c r="D76" i="5"/>
  <c r="F76" i="5" s="1"/>
  <c r="J52" i="5"/>
  <c r="H22" i="7"/>
  <c r="J22" i="7"/>
  <c r="H79" i="7"/>
  <c r="J79" i="7"/>
  <c r="D78" i="7"/>
  <c r="D111" i="7"/>
  <c r="H116" i="7"/>
  <c r="J116" i="7"/>
  <c r="H24" i="7"/>
  <c r="J24" i="7"/>
  <c r="D18" i="9"/>
  <c r="H14" i="7"/>
  <c r="J14" i="7"/>
  <c r="H21" i="7"/>
  <c r="J21" i="7"/>
  <c r="H28" i="7"/>
  <c r="J28" i="7"/>
  <c r="H55" i="7"/>
  <c r="J55" i="7"/>
  <c r="H34" i="7"/>
  <c r="J34" i="7"/>
  <c r="H20" i="7"/>
  <c r="J20" i="7"/>
  <c r="H51" i="7"/>
  <c r="J51" i="7"/>
  <c r="H52" i="7"/>
  <c r="J52" i="7"/>
  <c r="H33" i="7"/>
  <c r="J33" i="7"/>
  <c r="H59" i="7"/>
  <c r="J59" i="7"/>
  <c r="H107" i="7"/>
  <c r="J107" i="7"/>
  <c r="H23" i="7"/>
  <c r="J23" i="7"/>
  <c r="H90" i="7"/>
  <c r="J90" i="7"/>
  <c r="H45" i="7"/>
  <c r="J45" i="7"/>
  <c r="H65" i="7"/>
  <c r="J65" i="7"/>
  <c r="H105" i="7"/>
  <c r="J105" i="7"/>
  <c r="H58" i="3"/>
  <c r="J58" i="3"/>
  <c r="H295" i="3"/>
  <c r="J295" i="3"/>
  <c r="H48" i="3"/>
  <c r="J48" i="3"/>
  <c r="H45" i="3"/>
  <c r="J45" i="3"/>
  <c r="H205" i="3"/>
  <c r="J205" i="3"/>
  <c r="H299" i="3"/>
  <c r="J299" i="3"/>
  <c r="D66" i="3"/>
  <c r="H70" i="3"/>
  <c r="J70" i="3"/>
  <c r="H294" i="3"/>
  <c r="J294" i="3"/>
  <c r="H195" i="3"/>
  <c r="J195" i="3"/>
  <c r="H74" i="3"/>
  <c r="J74" i="3"/>
  <c r="H171" i="3"/>
  <c r="J171" i="3"/>
  <c r="H288" i="3"/>
  <c r="J288" i="3"/>
  <c r="H270" i="3"/>
  <c r="J270" i="3"/>
  <c r="H230" i="3"/>
  <c r="J230" i="3"/>
  <c r="H298" i="3"/>
  <c r="J298" i="3"/>
  <c r="H158" i="3"/>
  <c r="J158" i="3"/>
  <c r="H189" i="3"/>
  <c r="J189" i="3"/>
  <c r="H266" i="3"/>
  <c r="J266" i="3"/>
  <c r="H229" i="3"/>
  <c r="J229" i="3"/>
  <c r="H111" i="3"/>
  <c r="J111" i="3"/>
  <c r="H11" i="3"/>
  <c r="J11" i="3"/>
  <c r="H89" i="3"/>
  <c r="J89" i="3"/>
  <c r="H267" i="3"/>
  <c r="J267" i="3"/>
  <c r="H65" i="3"/>
  <c r="J65" i="3"/>
  <c r="H75" i="3"/>
  <c r="J75" i="3"/>
  <c r="H136" i="3"/>
  <c r="J136" i="3"/>
  <c r="H64" i="3"/>
  <c r="J64" i="3"/>
  <c r="H181" i="3"/>
  <c r="J181" i="3"/>
  <c r="H204" i="3"/>
  <c r="J204" i="3"/>
  <c r="H265" i="3"/>
  <c r="J265" i="3"/>
  <c r="H306" i="3"/>
  <c r="J306" i="3"/>
  <c r="D305" i="3"/>
  <c r="H258" i="3"/>
  <c r="J258" i="3"/>
  <c r="H269" i="3"/>
  <c r="J269" i="3"/>
  <c r="H100" i="3"/>
  <c r="J100" i="3"/>
  <c r="D274" i="3"/>
  <c r="H275" i="3"/>
  <c r="J275" i="3"/>
  <c r="H268" i="3"/>
  <c r="J268" i="3"/>
  <c r="H63" i="3"/>
  <c r="J63" i="3"/>
  <c r="H215" i="3"/>
  <c r="J215" i="3"/>
  <c r="J267" i="5"/>
  <c r="J298" i="5"/>
  <c r="D304" i="5"/>
  <c r="F304" i="5" s="1"/>
  <c r="J305" i="5"/>
  <c r="J264" i="5"/>
  <c r="J294" i="5"/>
  <c r="J342" i="5"/>
  <c r="J295" i="5"/>
  <c r="J203" i="5"/>
  <c r="J268" i="5"/>
  <c r="J293" i="5"/>
  <c r="J299" i="5"/>
  <c r="J296" i="5"/>
  <c r="J214" i="5"/>
  <c r="D229" i="5"/>
  <c r="D228" i="5"/>
  <c r="J171" i="5"/>
  <c r="J193" i="5"/>
  <c r="J274" i="5"/>
  <c r="J343" i="5"/>
  <c r="J189" i="5"/>
  <c r="J269" i="5"/>
  <c r="J345" i="5"/>
  <c r="J257" i="5"/>
  <c r="J58" i="5"/>
  <c r="J63" i="5"/>
  <c r="J56" i="5"/>
  <c r="J188" i="5"/>
  <c r="J48" i="5"/>
  <c r="J136" i="5"/>
  <c r="J350" i="5"/>
  <c r="J46" i="5"/>
  <c r="J194" i="5"/>
  <c r="J111" i="5"/>
  <c r="J74" i="5"/>
  <c r="J64" i="5"/>
  <c r="J100" i="5"/>
  <c r="J287" i="5"/>
  <c r="J75" i="5"/>
  <c r="J265" i="5"/>
  <c r="J89" i="5"/>
  <c r="J297" i="5"/>
  <c r="J204" i="5"/>
  <c r="J344" i="5"/>
  <c r="J187" i="5"/>
  <c r="J266" i="5"/>
  <c r="D144" i="5"/>
  <c r="F144" i="5" s="1"/>
  <c r="J300" i="5"/>
  <c r="J57" i="5"/>
  <c r="D228" i="2"/>
  <c r="H214" i="2"/>
  <c r="J279" i="4"/>
  <c r="J190" i="4"/>
  <c r="H190" i="4"/>
  <c r="J89" i="4"/>
  <c r="H89" i="4"/>
  <c r="J57" i="4"/>
  <c r="H57" i="4"/>
  <c r="J171" i="4"/>
  <c r="H171" i="4"/>
  <c r="J111" i="4"/>
  <c r="H111" i="4"/>
  <c r="J47" i="4"/>
  <c r="H47" i="4"/>
  <c r="J11" i="4"/>
  <c r="H11" i="4"/>
  <c r="J180" i="4"/>
  <c r="H180" i="4"/>
  <c r="J144" i="4"/>
  <c r="H144" i="4"/>
  <c r="J270" i="4"/>
  <c r="H270" i="4"/>
  <c r="J206" i="4"/>
  <c r="H206" i="4"/>
  <c r="J191" i="4"/>
  <c r="H191" i="4"/>
  <c r="J58" i="4"/>
  <c r="H58" i="4"/>
  <c r="J75" i="4"/>
  <c r="H75" i="4"/>
  <c r="J275" i="4"/>
  <c r="H275" i="4"/>
  <c r="J63" i="4"/>
  <c r="H63" i="4"/>
  <c r="J70" i="4"/>
  <c r="H70" i="4"/>
  <c r="J189" i="4"/>
  <c r="H189" i="4"/>
  <c r="D76" i="4"/>
  <c r="J205" i="4"/>
  <c r="H205" i="4"/>
  <c r="J259" i="4"/>
  <c r="H259" i="4"/>
  <c r="J65" i="4"/>
  <c r="H65" i="4"/>
  <c r="J74" i="4"/>
  <c r="H74" i="4"/>
  <c r="J158" i="4"/>
  <c r="H158" i="4"/>
  <c r="J268" i="4"/>
  <c r="H268" i="4"/>
  <c r="J195" i="4"/>
  <c r="H195" i="4"/>
  <c r="J48" i="4"/>
  <c r="H48" i="4"/>
  <c r="J196" i="4"/>
  <c r="H196" i="4"/>
  <c r="J66" i="4"/>
  <c r="H66" i="4"/>
  <c r="J267" i="4"/>
  <c r="H267" i="4"/>
  <c r="H265" i="6"/>
  <c r="J265" i="6"/>
  <c r="H272" i="6"/>
  <c r="J272" i="6"/>
  <c r="H294" i="6"/>
  <c r="J294" i="6"/>
  <c r="H286" i="6"/>
  <c r="J286" i="6"/>
  <c r="H158" i="6"/>
  <c r="J158" i="6"/>
  <c r="H76" i="6"/>
  <c r="J76" i="6"/>
  <c r="H266" i="6"/>
  <c r="J266" i="6"/>
  <c r="H203" i="6"/>
  <c r="J203" i="6"/>
  <c r="H57" i="6"/>
  <c r="J57" i="6"/>
  <c r="H111" i="6"/>
  <c r="J111" i="6"/>
  <c r="H296" i="6"/>
  <c r="J296" i="6"/>
  <c r="H268" i="6"/>
  <c r="J268" i="6"/>
  <c r="H298" i="6"/>
  <c r="J298" i="6"/>
  <c r="H292" i="6"/>
  <c r="J292" i="6"/>
  <c r="H263" i="6"/>
  <c r="J263" i="6"/>
  <c r="H58" i="6"/>
  <c r="J58" i="6"/>
  <c r="H264" i="6"/>
  <c r="J264" i="6"/>
  <c r="H48" i="6"/>
  <c r="J48" i="6"/>
  <c r="H171" i="6"/>
  <c r="J171" i="6"/>
  <c r="H273" i="6"/>
  <c r="J273" i="6"/>
  <c r="H267" i="6"/>
  <c r="J267" i="6"/>
  <c r="H214" i="6"/>
  <c r="J214" i="6"/>
  <c r="H257" i="6"/>
  <c r="J257" i="6"/>
  <c r="H45" i="6"/>
  <c r="J45" i="6"/>
  <c r="H293" i="6"/>
  <c r="J293" i="6"/>
  <c r="H180" i="6"/>
  <c r="J180" i="6"/>
  <c r="H295" i="6"/>
  <c r="J295" i="6"/>
  <c r="H56" i="6"/>
  <c r="J56" i="6"/>
  <c r="H100" i="6"/>
  <c r="J100" i="6"/>
  <c r="H297" i="6"/>
  <c r="J297" i="6"/>
  <c r="H89" i="6"/>
  <c r="J89" i="6"/>
  <c r="H11" i="6"/>
  <c r="J11" i="6"/>
  <c r="H204" i="6"/>
  <c r="J204" i="6"/>
  <c r="H66" i="6"/>
  <c r="J66" i="6"/>
  <c r="H136" i="6"/>
  <c r="J136" i="6"/>
  <c r="H303" i="6"/>
  <c r="J303" i="6"/>
  <c r="H299" i="6"/>
  <c r="J299" i="6"/>
  <c r="H279" i="6"/>
  <c r="J279" i="6"/>
  <c r="H315" i="6"/>
  <c r="J315" i="6"/>
  <c r="J203" i="1"/>
  <c r="J234" i="1"/>
  <c r="J45" i="1"/>
  <c r="D304" i="1"/>
  <c r="D303" i="1" s="1"/>
  <c r="D294" i="1"/>
  <c r="D144" i="1"/>
  <c r="J46" i="1"/>
  <c r="J47" i="1"/>
  <c r="J233" i="1"/>
  <c r="J65" i="1"/>
  <c r="J48" i="1"/>
  <c r="J189" i="1"/>
  <c r="J70" i="1"/>
  <c r="J58" i="1"/>
  <c r="J266" i="1"/>
  <c r="D286" i="1"/>
  <c r="J285" i="1"/>
  <c r="J187" i="1"/>
  <c r="J64" i="1"/>
  <c r="J304" i="1"/>
  <c r="J257" i="1"/>
  <c r="J223" i="1"/>
  <c r="J229" i="1"/>
  <c r="J295" i="1"/>
  <c r="D299" i="1"/>
  <c r="J290" i="1"/>
  <c r="J267" i="1"/>
  <c r="J100" i="1"/>
  <c r="J11" i="1"/>
  <c r="J194" i="1"/>
  <c r="J74" i="1"/>
  <c r="J281" i="1"/>
  <c r="J222" i="1"/>
  <c r="J193" i="1"/>
  <c r="J63" i="1"/>
  <c r="J264" i="1"/>
  <c r="D292" i="1"/>
  <c r="J263" i="1"/>
  <c r="J180" i="1"/>
  <c r="J280" i="1"/>
  <c r="J228" i="1"/>
  <c r="J273" i="1"/>
  <c r="J204" i="1"/>
  <c r="D293" i="1"/>
  <c r="J214" i="1"/>
  <c r="J265" i="1"/>
  <c r="J245" i="1"/>
  <c r="J188" i="1"/>
  <c r="J75" i="1"/>
  <c r="J294" i="1"/>
  <c r="J111" i="1"/>
  <c r="D296" i="1"/>
  <c r="J89" i="1"/>
  <c r="J268" i="1"/>
  <c r="J136" i="1"/>
  <c r="J171" i="1"/>
  <c r="J216" i="4"/>
  <c r="D230" i="4"/>
  <c r="D231" i="4"/>
  <c r="D298" i="1"/>
  <c r="D297" i="1"/>
  <c r="D97" i="7"/>
  <c r="D283" i="4"/>
  <c r="D292" i="4"/>
  <c r="D282" i="4"/>
  <c r="D287" i="4"/>
  <c r="D281" i="4"/>
  <c r="H281" i="4" s="1"/>
  <c r="D3" i="9"/>
  <c r="D14" i="9"/>
  <c r="D30" i="9"/>
  <c r="D19" i="9"/>
  <c r="D31" i="9"/>
  <c r="D303" i="2"/>
  <c r="D60" i="7"/>
  <c r="D29" i="7"/>
  <c r="D66" i="1"/>
  <c r="D76" i="1"/>
  <c r="D272" i="1"/>
  <c r="D144" i="6"/>
  <c r="D274" i="4"/>
  <c r="D147" i="4"/>
  <c r="D147" i="2"/>
  <c r="D76" i="2"/>
  <c r="D66" i="2"/>
  <c r="D76" i="3"/>
  <c r="D147" i="5"/>
  <c r="F147" i="5" s="1"/>
  <c r="D144" i="3"/>
  <c r="D273" i="5"/>
  <c r="F273" i="5" s="1"/>
  <c r="D272" i="2"/>
  <c r="D228" i="6"/>
  <c r="D229" i="6"/>
  <c r="H229" i="2" l="1"/>
  <c r="J229" i="2"/>
  <c r="F229" i="2"/>
  <c r="H303" i="2"/>
  <c r="J303" i="2"/>
  <c r="F303" i="2"/>
  <c r="H66" i="2"/>
  <c r="J66" i="2"/>
  <c r="F66" i="2"/>
  <c r="H76" i="2"/>
  <c r="J76" i="2"/>
  <c r="F76" i="2"/>
  <c r="H147" i="2"/>
  <c r="J147" i="2"/>
  <c r="F147" i="2"/>
  <c r="H228" i="2"/>
  <c r="J228" i="2"/>
  <c r="F228" i="2"/>
  <c r="H48" i="2"/>
  <c r="J48" i="2"/>
  <c r="F48" i="2"/>
  <c r="H272" i="2"/>
  <c r="J272" i="2"/>
  <c r="F272" i="2"/>
  <c r="H58" i="2"/>
  <c r="J58" i="2"/>
  <c r="F58" i="2"/>
  <c r="J66" i="5"/>
  <c r="J76" i="5"/>
  <c r="H111" i="7"/>
  <c r="J111" i="7"/>
  <c r="H78" i="7"/>
  <c r="J78" i="7"/>
  <c r="H29" i="7"/>
  <c r="J29" i="7"/>
  <c r="H97" i="7"/>
  <c r="J97" i="7"/>
  <c r="H60" i="7"/>
  <c r="J60" i="7"/>
  <c r="H305" i="3"/>
  <c r="J305" i="3"/>
  <c r="H274" i="3"/>
  <c r="J274" i="3"/>
  <c r="D147" i="3"/>
  <c r="H144" i="3"/>
  <c r="J144" i="3"/>
  <c r="H76" i="3"/>
  <c r="J76" i="3"/>
  <c r="H66" i="3"/>
  <c r="J66" i="3"/>
  <c r="J147" i="5"/>
  <c r="J144" i="5"/>
  <c r="J229" i="5"/>
  <c r="J228" i="5"/>
  <c r="J304" i="5"/>
  <c r="J273" i="5"/>
  <c r="J287" i="4"/>
  <c r="H287" i="4"/>
  <c r="J282" i="4"/>
  <c r="H282" i="4"/>
  <c r="J292" i="4"/>
  <c r="J283" i="4"/>
  <c r="H283" i="4"/>
  <c r="J231" i="4"/>
  <c r="H231" i="4"/>
  <c r="J76" i="4"/>
  <c r="H76" i="4"/>
  <c r="J147" i="4"/>
  <c r="H147" i="4"/>
  <c r="J230" i="4"/>
  <c r="H230" i="4"/>
  <c r="J274" i="4"/>
  <c r="H274" i="4"/>
  <c r="H229" i="6"/>
  <c r="J229" i="6"/>
  <c r="H228" i="6"/>
  <c r="J228" i="6"/>
  <c r="H144" i="6"/>
  <c r="J144" i="6"/>
  <c r="D147" i="1"/>
  <c r="J144" i="1"/>
  <c r="J76" i="1"/>
  <c r="J66" i="1"/>
  <c r="J147" i="1"/>
  <c r="J303" i="1"/>
  <c r="J286" i="1"/>
  <c r="J292" i="1"/>
  <c r="J299" i="1"/>
  <c r="J297" i="1"/>
  <c r="J298" i="1"/>
  <c r="J293" i="1"/>
  <c r="J272" i="1"/>
  <c r="J296" i="1"/>
  <c r="D4" i="9"/>
  <c r="J281" i="4"/>
  <c r="D6" i="9"/>
  <c r="D301" i="4"/>
  <c r="D298" i="4"/>
  <c r="D300" i="4"/>
  <c r="D294" i="4"/>
  <c r="D295" i="4"/>
  <c r="D299" i="4"/>
  <c r="D297" i="4"/>
  <c r="D306" i="4"/>
  <c r="D296" i="4"/>
  <c r="D29" i="9"/>
  <c r="D288" i="4"/>
  <c r="D147" i="6"/>
  <c r="H147" i="3" l="1"/>
  <c r="J147" i="3"/>
  <c r="J288" i="4"/>
  <c r="H288" i="4"/>
  <c r="J297" i="4"/>
  <c r="H297" i="4"/>
  <c r="J299" i="4"/>
  <c r="H299" i="4"/>
  <c r="J295" i="4"/>
  <c r="H295" i="4"/>
  <c r="J294" i="4"/>
  <c r="H294" i="4"/>
  <c r="J300" i="4"/>
  <c r="H300" i="4"/>
  <c r="J298" i="4"/>
  <c r="H298" i="4"/>
  <c r="J301" i="4"/>
  <c r="H301" i="4"/>
  <c r="J296" i="4"/>
  <c r="H296" i="4"/>
  <c r="J306" i="4"/>
  <c r="H306" i="4"/>
  <c r="H147" i="6"/>
  <c r="J147" i="6"/>
  <c r="D20" i="9"/>
  <c r="D26" i="9"/>
  <c r="D24" i="9"/>
  <c r="D23" i="9"/>
  <c r="D305" i="4"/>
  <c r="D22" i="9"/>
  <c r="D25" i="9"/>
  <c r="J305" i="4" l="1"/>
  <c r="H305" i="4"/>
  <c r="D21" i="9"/>
  <c r="D27" i="9" l="1"/>
</calcChain>
</file>

<file path=xl/sharedStrings.xml><?xml version="1.0" encoding="utf-8"?>
<sst xmlns="http://schemas.openxmlformats.org/spreadsheetml/2006/main" count="2888" uniqueCount="237">
  <si>
    <t>Supply and apply Chemical anti-termite treatment as "Gladiator" or other approved insecticide to sides surfaces and bottom of trenches and bases, floor slab.</t>
  </si>
  <si>
    <t>m2</t>
  </si>
  <si>
    <t>Materials</t>
  </si>
  <si>
    <t>Termidor Aintitermite chemical</t>
  </si>
  <si>
    <t>lts</t>
  </si>
  <si>
    <t>Total materials</t>
  </si>
  <si>
    <t>Labour</t>
  </si>
  <si>
    <t>Porter</t>
  </si>
  <si>
    <t>days</t>
  </si>
  <si>
    <t>Total labour</t>
  </si>
  <si>
    <t>CM</t>
  </si>
  <si>
    <t>Cement</t>
  </si>
  <si>
    <t>Bags</t>
  </si>
  <si>
    <t>Sand</t>
  </si>
  <si>
    <t>Aggregates</t>
  </si>
  <si>
    <t>Fuel (Diesel)</t>
  </si>
  <si>
    <t>Ltrs</t>
  </si>
  <si>
    <t>Fuel (Petrol)</t>
  </si>
  <si>
    <t>Total Materials (Concrete Works)</t>
  </si>
  <si>
    <t>Equipments</t>
  </si>
  <si>
    <t>Concrete Mixer</t>
  </si>
  <si>
    <t>Days</t>
  </si>
  <si>
    <t>Concrete Vibrator</t>
  </si>
  <si>
    <t>Total Equipment (Concrete Works)</t>
  </si>
  <si>
    <t>Masons</t>
  </si>
  <si>
    <t>Porters</t>
  </si>
  <si>
    <t>Mixer Operator</t>
  </si>
  <si>
    <t>Total Labour (Concrete Works)</t>
  </si>
  <si>
    <t>m3</t>
  </si>
  <si>
    <t>Material</t>
  </si>
  <si>
    <t>Hardcore(IBIPARARA)</t>
  </si>
  <si>
    <t>bags</t>
  </si>
  <si>
    <t>sand</t>
  </si>
  <si>
    <t>labour</t>
  </si>
  <si>
    <t>Mason</t>
  </si>
  <si>
    <t>1000 gauge woven Geotextile membrane</t>
  </si>
  <si>
    <t>S.M.</t>
  </si>
  <si>
    <t>DPM</t>
  </si>
  <si>
    <t>M2</t>
  </si>
  <si>
    <t>Total for labour</t>
  </si>
  <si>
    <t>200mm Brick wall</t>
  </si>
  <si>
    <t>Ciment 32.5</t>
  </si>
  <si>
    <t>Kayumbu sand</t>
  </si>
  <si>
    <t>Burnt bricks</t>
  </si>
  <si>
    <t>pcs</t>
  </si>
  <si>
    <t>m³</t>
  </si>
  <si>
    <t>32mm Screed finishing before coating epoxy flooring</t>
  </si>
  <si>
    <t>m²</t>
  </si>
  <si>
    <t xml:space="preserve">15 mm thick cement and sand (1:4) render to masonry and concrete to receive specialist finish (ms) </t>
  </si>
  <si>
    <t>Walls and concrete surfaces externally</t>
  </si>
  <si>
    <t>SM</t>
  </si>
  <si>
    <t>Materials:</t>
  </si>
  <si>
    <t>Cement 32.5</t>
  </si>
  <si>
    <t>Labour:</t>
  </si>
  <si>
    <t>TOTAL Labour</t>
  </si>
  <si>
    <t>Prepare, prime and apply three coats 'weather guard' emulsion paint to external wall</t>
  </si>
  <si>
    <t>Weather guard paint( 2 coat)</t>
  </si>
  <si>
    <t>Ltr</t>
  </si>
  <si>
    <t>Masking tape</t>
  </si>
  <si>
    <t>Roll</t>
  </si>
  <si>
    <t>Scrapers</t>
  </si>
  <si>
    <t>Total  materials</t>
  </si>
  <si>
    <t>day</t>
  </si>
  <si>
    <t>Painter</t>
  </si>
  <si>
    <t xml:space="preserve">Surfaces internally </t>
  </si>
  <si>
    <t>lime</t>
  </si>
  <si>
    <t>Plastered walls</t>
  </si>
  <si>
    <t>kg</t>
  </si>
  <si>
    <t>induit/undercoat for sticco(whiting)</t>
  </si>
  <si>
    <t>tin</t>
  </si>
  <si>
    <t>Painter(undercoat, sticco and paint )</t>
  </si>
  <si>
    <t>Stone masonry foundation</t>
  </si>
  <si>
    <t>Supply and laying of burnt bricks for wall with motar ratio (1:6)</t>
  </si>
  <si>
    <t>Supply and laying approved hardcore for foundation with motar ratio (1:5)</t>
  </si>
  <si>
    <t>RCC door&amp; window lintel</t>
  </si>
  <si>
    <t xml:space="preserve">Floor Slab </t>
  </si>
  <si>
    <t xml:space="preserve">150mm thick  Floor Slab: 100mm stone, 50mm concrete (1:4:8) ratio </t>
  </si>
  <si>
    <t>Blinding concrete 50mm of ratio cement-sand-aggregates (1:4:8)</t>
  </si>
  <si>
    <t>Total Labour</t>
  </si>
  <si>
    <t>25MPa concrete, cement-sand-aggregate ratio (1:2:4)</t>
  </si>
  <si>
    <t xml:space="preserve">32mm Screed finishing </t>
  </si>
  <si>
    <t>15 mm thick cement and sand (1:4) render to masonry and concrete to receive specialist finish (ms) external</t>
  </si>
  <si>
    <t>Supply, assemble and put in place Phenolic,resin film faced plywood  formwork or equal and approved concrete shuttering material by Structural Engineer including all necessary supports such as steel and nails as described to:-</t>
  </si>
  <si>
    <t>Formwork Sides of column and wall bases</t>
  </si>
  <si>
    <t>Marine Plywood</t>
  </si>
  <si>
    <t>Pcs</t>
  </si>
  <si>
    <t>Timber</t>
  </si>
  <si>
    <t>Nails</t>
  </si>
  <si>
    <t>Kgs</t>
  </si>
  <si>
    <t>Total Materials (Formwork)</t>
  </si>
  <si>
    <t>Carpenter</t>
  </si>
  <si>
    <t>Total Labour (Formwork)</t>
  </si>
  <si>
    <t>supervisor</t>
  </si>
  <si>
    <t>Excavation of foundation trenches, sub column, column base</t>
  </si>
  <si>
    <t xml:space="preserve">Excavate foundation trenches  800mm deep </t>
  </si>
  <si>
    <t>Forwork to Sides of Columns</t>
  </si>
  <si>
    <t xml:space="preserve">Column bases (700*700*150)mm </t>
  </si>
  <si>
    <t>floor slab</t>
  </si>
  <si>
    <t>column base</t>
  </si>
  <si>
    <t>Ready mix concrete c30</t>
  </si>
  <si>
    <t>TOTAL MATERIALS</t>
  </si>
  <si>
    <t>Reinforced concrete class 35/20 aggregate as described in:</t>
  </si>
  <si>
    <t>culumn base</t>
  </si>
  <si>
    <t>sub column</t>
  </si>
  <si>
    <t>Columns</t>
  </si>
  <si>
    <t>Steel Reinforcement</t>
  </si>
  <si>
    <t>Steel bars (Assorted Size)</t>
  </si>
  <si>
    <t>Binding Wire</t>
  </si>
  <si>
    <t>Total Materials (Steel Reinforcement)</t>
  </si>
  <si>
    <t>Steel fixer</t>
  </si>
  <si>
    <t>porter</t>
  </si>
  <si>
    <t>Total Labour (Steel Reinforcement)</t>
  </si>
  <si>
    <t xml:space="preserve">Total Equipment </t>
  </si>
  <si>
    <t xml:space="preserve">Total Labour </t>
  </si>
  <si>
    <t xml:space="preserve">Excavate for column base &amp;sub column (700*700*1150)mm </t>
  </si>
  <si>
    <t xml:space="preserve">Total Materials </t>
  </si>
  <si>
    <t>10.01</t>
  </si>
  <si>
    <t>Internal wall finishesSupply and fix 10 mm First coat of cement/sand (1:3), 3 mm second coat of cement/lime putty (1:5) steel trowelled smooth to:-</t>
  </si>
  <si>
    <t>Formwork on Sides of sub column</t>
  </si>
  <si>
    <t>total labour</t>
  </si>
  <si>
    <t>DESCRIPTION</t>
  </si>
  <si>
    <t>UNIT</t>
  </si>
  <si>
    <t>QUANTITY</t>
  </si>
  <si>
    <t>Internal wall finishes Supply and fix 10 mm First coat of cement/sand (1:3), 3 mm second coat of cement/lime putty (1:5):-</t>
  </si>
  <si>
    <t>Internal wall finishes Supply and fix 10 mm First coat of cement/sand (1:3), 3 mm second coat of cement/lime putty (1:5) :-</t>
  </si>
  <si>
    <t>Total Materials</t>
  </si>
  <si>
    <t>Gypsum Fixer</t>
  </si>
  <si>
    <t>Total  (LABOUR)</t>
  </si>
  <si>
    <t>1900x1500mm size</t>
  </si>
  <si>
    <t>No</t>
  </si>
  <si>
    <t>1000x2450mm size</t>
  </si>
  <si>
    <t>Aluminum windows Supply and fix Purpose, fire resisting; price to include frames, ironmongery, glazing beads and wash leather strips including mosquito nets:</t>
  </si>
  <si>
    <t>Aluminium door divided into different panels and including 6mm thick Tinted glass complete with 45 x 20 mm anodized aluminium beads, rubber gaskets with all necessary opening accessories :</t>
  </si>
  <si>
    <t>1800x2100mm size with 2 sidelights Single Door</t>
  </si>
  <si>
    <t xml:space="preserve"> Materials</t>
  </si>
  <si>
    <t>screws</t>
  </si>
  <si>
    <t>box(250)</t>
  </si>
  <si>
    <t>Black silicon</t>
  </si>
  <si>
    <t>roll</t>
  </si>
  <si>
    <t>equipment</t>
  </si>
  <si>
    <t xml:space="preserve">Supply and fixing Roof coverings </t>
  </si>
  <si>
    <t>Painting: Supply, Prepare and apply three coats first quality emulsion paint on:</t>
  </si>
  <si>
    <t>Roof covering sheet</t>
  </si>
  <si>
    <t>window</t>
  </si>
  <si>
    <t>no</t>
  </si>
  <si>
    <t>40x40x2mm RHS struts</t>
  </si>
  <si>
    <t>LM</t>
  </si>
  <si>
    <t>Steel Materials</t>
  </si>
  <si>
    <t>RHS 40*40*2mm</t>
  </si>
  <si>
    <t>PC</t>
  </si>
  <si>
    <t>cutting disc</t>
  </si>
  <si>
    <t>welding rods</t>
  </si>
  <si>
    <t>pck</t>
  </si>
  <si>
    <t>red oxide</t>
  </si>
  <si>
    <t>thinner</t>
  </si>
  <si>
    <t>enamel paint</t>
  </si>
  <si>
    <t>Mastic p38</t>
  </si>
  <si>
    <t>pcs of 4kg</t>
  </si>
  <si>
    <t>welding machine</t>
  </si>
  <si>
    <t>grinder</t>
  </si>
  <si>
    <t>welder</t>
  </si>
  <si>
    <t>Classes, Dining area, Kitchen, Stock</t>
  </si>
  <si>
    <t>Sleeping area, Office area</t>
  </si>
  <si>
    <t xml:space="preserve"> Single Door</t>
  </si>
  <si>
    <t>1000x1500mm size</t>
  </si>
  <si>
    <t>900x2100mm size with 2 sidelights Single Door</t>
  </si>
  <si>
    <t>Double Door</t>
  </si>
  <si>
    <t>900x2100mm size with Single Door</t>
  </si>
  <si>
    <t>Single Door</t>
  </si>
  <si>
    <t>800x2100mm size with 2 Single Door</t>
  </si>
  <si>
    <t>400x4500mm size</t>
  </si>
  <si>
    <t>total equipment</t>
  </si>
  <si>
    <t>Plywood</t>
  </si>
  <si>
    <t>capenter</t>
  </si>
  <si>
    <t>Ceiling Tiles 500×500mm</t>
  </si>
  <si>
    <t>CEILING</t>
  </si>
  <si>
    <t>ROOF</t>
  </si>
  <si>
    <t>Total</t>
  </si>
  <si>
    <t>burnt bricks</t>
  </si>
  <si>
    <t>Roller</t>
  </si>
  <si>
    <t>No.</t>
  </si>
  <si>
    <t>Brush</t>
  </si>
  <si>
    <t xml:space="preserve">Cement </t>
  </si>
  <si>
    <t xml:space="preserve">Aggregates </t>
  </si>
  <si>
    <t>Plywood ceiling (triplex)</t>
  </si>
  <si>
    <t>screw box (250)</t>
  </si>
  <si>
    <t>box</t>
  </si>
  <si>
    <t>SUMMARY OF MATERIALS</t>
  </si>
  <si>
    <t>Sand (amavuta)</t>
  </si>
  <si>
    <t>500*500mm  Floor tiling with 1:4 ratio mortar</t>
  </si>
  <si>
    <t>Sand(AMAVUTA)</t>
  </si>
  <si>
    <t>Water</t>
  </si>
  <si>
    <t>spacers</t>
  </si>
  <si>
    <t>pack</t>
  </si>
  <si>
    <t>Supply and fix 500x500x8mm thick  Ceramic wall tiles to walls&amp; floor</t>
  </si>
  <si>
    <t>MATERIALS</t>
  </si>
  <si>
    <t>UNIT PRICE</t>
  </si>
  <si>
    <t>TOTAL PRICE</t>
  </si>
  <si>
    <t xml:space="preserve">Sub-base layer of approved natural  gravel material </t>
  </si>
  <si>
    <t>cum</t>
  </si>
  <si>
    <t>Fuel</t>
  </si>
  <si>
    <t>Murram</t>
  </si>
  <si>
    <t>Equipment</t>
  </si>
  <si>
    <t>Excavator</t>
  </si>
  <si>
    <t>Hrs</t>
  </si>
  <si>
    <t>Tipper Truck</t>
  </si>
  <si>
    <t>Wheel Loader</t>
  </si>
  <si>
    <t>Grader</t>
  </si>
  <si>
    <t>Water Bowser</t>
  </si>
  <si>
    <t>Compactor</t>
  </si>
  <si>
    <t>Total Equipment</t>
  </si>
  <si>
    <t>sqm</t>
  </si>
  <si>
    <t>21*10*6.3cm Ruliba Paving block</t>
  </si>
  <si>
    <t>Tipper Trucks</t>
  </si>
  <si>
    <t xml:space="preserve">Provision and installation of 21*10*6.3cm thick </t>
  </si>
  <si>
    <t>OUTDOOR PAVERS</t>
  </si>
  <si>
    <t>ECD classes</t>
  </si>
  <si>
    <t>Office space</t>
  </si>
  <si>
    <t>Sleeping area</t>
  </si>
  <si>
    <t>Dining area</t>
  </si>
  <si>
    <t>Toilet&amp; Bathroom</t>
  </si>
  <si>
    <t>Stock&amp; kitchen</t>
  </si>
  <si>
    <t>Pavers</t>
  </si>
  <si>
    <t>Plumbing</t>
  </si>
  <si>
    <t>Electricity</t>
  </si>
  <si>
    <t>ECODEP</t>
  </si>
  <si>
    <t>Total Price (Rwf)</t>
  </si>
  <si>
    <t>Unit Price (Rwf)</t>
  </si>
  <si>
    <t>GLESCO LTD</t>
  </si>
  <si>
    <t>C&amp;B CONS LTD</t>
  </si>
  <si>
    <t>COMMERCIAL ADJUDICATION FOR ECD</t>
  </si>
  <si>
    <t>NYAKABINGO BOQ AMOUNT</t>
  </si>
  <si>
    <t>Item Description</t>
  </si>
  <si>
    <t>QTY</t>
  </si>
  <si>
    <t>Roof Ceiling  &amp; Outdoor Paver</t>
  </si>
  <si>
    <t>Sub Total</t>
  </si>
  <si>
    <t>Contingency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</si>
</sst>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 #,##0.00_-;_-* &quot;-&quot;??_-;_-@_-"/>
    <numFmt numFmtId="165" formatCode="_(* #,##0_);_(* \(#,##0\);_(* &quot;-&quot;??_);_(@_)"/>
    <numFmt numFmtId="166" formatCode="_(* #,##0.000_);_(* \(#,##0.000\);_(* &quot;-&quot;??_);_(@_)"/>
    <numFmt numFmtId="167" formatCode="#,##0.0"/>
    <numFmt numFmtId="168" formatCode="_(* #,##0.0_);_(* \(#,##0.0\);_(* &quot;-&quot;??_);_(@_)"/>
  </numFmts>
  <fonts count="5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2"/>
      <color rgb="FFFF0000"/>
      <name val="Comic Sans MS"/>
      <family val="4"/>
    </font>
    <font>
      <sz val="12"/>
      <color theme="1"/>
      <name val="Condensed"/>
    </font>
    <font>
      <sz val="10"/>
      <name val="Comic Sans MS"/>
      <family val="4"/>
    </font>
    <font>
      <b/>
      <sz val="10"/>
      <name val="Comic Sans MS"/>
      <family val="4"/>
    </font>
    <font>
      <sz val="10"/>
      <color theme="8"/>
      <name val="Comic Sans MS"/>
      <family val="4"/>
    </font>
    <font>
      <sz val="12"/>
      <color theme="1"/>
      <name val="Sylfaen"/>
      <family val="1"/>
    </font>
    <font>
      <b/>
      <sz val="12"/>
      <name val="Sylfaen"/>
      <family val="1"/>
    </font>
    <font>
      <b/>
      <sz val="12"/>
      <color theme="1"/>
      <name val="Sylfaen"/>
      <family val="1"/>
    </font>
    <font>
      <sz val="10"/>
      <color rgb="FFFF0000"/>
      <name val="Comic Sans MS"/>
      <family val="4"/>
    </font>
    <font>
      <sz val="10"/>
      <color theme="9"/>
      <name val="Comic Sans MS"/>
      <family val="4"/>
    </font>
    <font>
      <b/>
      <sz val="10"/>
      <color theme="9"/>
      <name val="Comic Sans MS"/>
      <family val="4"/>
    </font>
    <font>
      <sz val="10"/>
      <color theme="1"/>
      <name val="Comic Sans MS"/>
      <family val="4"/>
    </font>
    <font>
      <sz val="12"/>
      <name val="Comic Sans MS"/>
      <family val="4"/>
    </font>
    <font>
      <sz val="12"/>
      <color theme="1"/>
      <name val="Calibri"/>
      <family val="2"/>
      <scheme val="minor"/>
    </font>
    <font>
      <sz val="12"/>
      <color theme="1"/>
      <name val="Comic Sans MS"/>
      <family val="4"/>
    </font>
    <font>
      <b/>
      <sz val="10"/>
      <color theme="1"/>
      <name val="Comic Sans MS"/>
      <family val="4"/>
    </font>
    <font>
      <b/>
      <sz val="12"/>
      <name val="Comic Sans MS"/>
      <family val="4"/>
    </font>
    <font>
      <sz val="11"/>
      <name val="Calibri"/>
      <family val="2"/>
      <scheme val="minor"/>
    </font>
    <font>
      <b/>
      <sz val="10"/>
      <color rgb="FFFF0000"/>
      <name val="Comic Sans MS"/>
      <family val="4"/>
    </font>
    <font>
      <b/>
      <sz val="11"/>
      <name val="Calibri"/>
      <family val="2"/>
      <scheme val="minor"/>
    </font>
    <font>
      <sz val="11"/>
      <color theme="1"/>
      <name val="Comic Sans MS"/>
      <family val="4"/>
    </font>
    <font>
      <sz val="11"/>
      <color rgb="FFFF0000"/>
      <name val="Comic Sans MS"/>
      <family val="4"/>
    </font>
    <font>
      <sz val="11"/>
      <name val="Comic Sans MS"/>
      <family val="4"/>
    </font>
    <font>
      <b/>
      <sz val="11"/>
      <name val="Comic Sans MS"/>
      <family val="4"/>
    </font>
    <font>
      <b/>
      <sz val="11"/>
      <color theme="1"/>
      <name val="Comic Sans MS"/>
      <family val="4"/>
    </font>
    <font>
      <b/>
      <sz val="12"/>
      <color theme="1"/>
      <name val="Comic Sans MS"/>
      <family val="4"/>
    </font>
    <font>
      <b/>
      <sz val="14"/>
      <name val="Comic Sans MS"/>
      <family val="4"/>
    </font>
    <font>
      <sz val="10"/>
      <color theme="1"/>
      <name val="Calibri"/>
      <family val="2"/>
      <scheme val="minor"/>
    </font>
    <font>
      <b/>
      <sz val="12"/>
      <color theme="1"/>
      <name val="Calibri"/>
      <family val="2"/>
      <scheme val="minor"/>
    </font>
    <font>
      <b/>
      <sz val="14"/>
      <color theme="1"/>
      <name val="Comic Sans MS"/>
      <family val="4"/>
    </font>
    <font>
      <b/>
      <sz val="12"/>
      <color rgb="FFFF0000"/>
      <name val="Comic Sans MS"/>
      <family val="4"/>
    </font>
    <font>
      <sz val="12"/>
      <color indexed="8"/>
      <name val="Comic Sans MS"/>
      <family val="4"/>
    </font>
    <font>
      <sz val="12"/>
      <color rgb="FFFF0000"/>
      <name val="Calibri"/>
      <family val="2"/>
      <scheme val="minor"/>
    </font>
    <font>
      <b/>
      <sz val="12"/>
      <color indexed="8"/>
      <name val="Comic Sans MS"/>
      <family val="4"/>
    </font>
    <font>
      <b/>
      <sz val="22"/>
      <color theme="1"/>
      <name val="Comic Sans MS"/>
      <family val="4"/>
    </font>
    <font>
      <b/>
      <sz val="24"/>
      <color theme="1"/>
      <name val="Comic Sans MS"/>
      <family val="4"/>
    </font>
    <font>
      <sz val="11"/>
      <color rgb="FF000000"/>
      <name val="Calibri"/>
      <family val="2"/>
    </font>
    <font>
      <b/>
      <sz val="11"/>
      <color rgb="FFFF0000"/>
      <name val="Calibri"/>
      <family val="2"/>
      <scheme val="minor"/>
    </font>
    <font>
      <sz val="12"/>
      <color rgb="FFFF0000"/>
      <name val="Condensed"/>
    </font>
    <font>
      <sz val="16"/>
      <color theme="1"/>
      <name val="Calibri"/>
      <family val="2"/>
      <scheme val="minor"/>
    </font>
    <font>
      <sz val="11"/>
      <color theme="9"/>
      <name val="Comic Sans MS"/>
      <family val="4"/>
    </font>
    <font>
      <b/>
      <sz val="11"/>
      <color theme="9"/>
      <name val="Comic Sans MS"/>
      <family val="4"/>
    </font>
    <font>
      <sz val="11"/>
      <color theme="8"/>
      <name val="Comic Sans MS"/>
      <family val="4"/>
    </font>
    <font>
      <sz val="11"/>
      <color rgb="FFFF0000"/>
      <name val="Sylfaen"/>
      <family val="1"/>
    </font>
    <font>
      <sz val="11"/>
      <color theme="1"/>
      <name val="Sylfaen"/>
      <family val="1"/>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1" fontId="1" fillId="0" borderId="0" applyFont="0" applyFill="0" applyBorder="0" applyAlignment="0" applyProtection="0"/>
    <xf numFmtId="0" fontId="4" fillId="0" borderId="0"/>
    <xf numFmtId="0" fontId="4"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cellStyleXfs>
  <cellXfs count="629">
    <xf numFmtId="0" fontId="0" fillId="0" borderId="0" xfId="0"/>
    <xf numFmtId="2" fontId="5" fillId="2" borderId="1" xfId="3" applyNumberFormat="1" applyFont="1" applyFill="1" applyBorder="1" applyAlignment="1">
      <alignment horizontal="center" vertical="center"/>
    </xf>
    <xf numFmtId="0" fontId="5" fillId="2" borderId="1" xfId="0" applyFont="1" applyFill="1" applyBorder="1" applyAlignment="1">
      <alignment horizontal="left" vertical="center" wrapText="1"/>
    </xf>
    <xf numFmtId="165" fontId="5" fillId="2" borderId="1" xfId="1" applyNumberFormat="1" applyFont="1" applyFill="1" applyBorder="1" applyAlignment="1">
      <alignment horizontal="center" vertical="center"/>
    </xf>
    <xf numFmtId="165" fontId="7" fillId="3" borderId="1" xfId="1" applyNumberFormat="1" applyFont="1" applyFill="1" applyBorder="1" applyAlignment="1">
      <alignment horizontal="center"/>
    </xf>
    <xf numFmtId="165" fontId="6" fillId="0" borderId="0" xfId="1" applyNumberFormat="1" applyFont="1" applyFill="1"/>
    <xf numFmtId="43" fontId="6" fillId="0" borderId="0" xfId="1" applyFont="1" applyFill="1"/>
    <xf numFmtId="165" fontId="8" fillId="0" borderId="1" xfId="1" applyNumberFormat="1" applyFont="1" applyFill="1" applyBorder="1" applyAlignment="1">
      <alignment horizontal="left" vertical="center" wrapText="1"/>
    </xf>
    <xf numFmtId="165" fontId="7" fillId="0" borderId="1" xfId="1" applyNumberFormat="1" applyFont="1" applyFill="1" applyBorder="1" applyAlignment="1">
      <alignment horizontal="center" vertical="center"/>
    </xf>
    <xf numFmtId="0" fontId="7" fillId="0" borderId="1" xfId="0" applyFont="1" applyBorder="1" applyAlignment="1">
      <alignment wrapText="1"/>
    </xf>
    <xf numFmtId="165" fontId="8" fillId="0" borderId="1" xfId="1" applyNumberFormat="1" applyFont="1" applyFill="1" applyBorder="1" applyAlignment="1">
      <alignment horizontal="left" vertical="center"/>
    </xf>
    <xf numFmtId="165" fontId="8" fillId="0" borderId="1" xfId="1" applyNumberFormat="1" applyFont="1" applyFill="1" applyBorder="1" applyAlignment="1">
      <alignment horizontal="center" vertical="center"/>
    </xf>
    <xf numFmtId="165" fontId="7" fillId="0" borderId="1" xfId="1" applyNumberFormat="1" applyFont="1" applyFill="1" applyBorder="1" applyAlignment="1">
      <alignment horizontal="left" vertical="center" wrapText="1"/>
    </xf>
    <xf numFmtId="0" fontId="8" fillId="0" borderId="1" xfId="0" applyFont="1" applyBorder="1" applyAlignment="1">
      <alignment horizontal="right" vertical="center"/>
    </xf>
    <xf numFmtId="0" fontId="5" fillId="2" borderId="1" xfId="0" applyFont="1" applyFill="1" applyBorder="1" applyAlignment="1">
      <alignment horizontal="center" vertical="center"/>
    </xf>
    <xf numFmtId="165" fontId="5" fillId="2" borderId="1" xfId="1" applyNumberFormat="1" applyFont="1" applyFill="1" applyBorder="1" applyAlignment="1">
      <alignment horizontal="left" vertical="center" wrapText="1"/>
    </xf>
    <xf numFmtId="43" fontId="5" fillId="2" borderId="1" xfId="1" applyFont="1" applyFill="1" applyBorder="1" applyAlignment="1">
      <alignment horizontal="center" vertical="center"/>
    </xf>
    <xf numFmtId="0" fontId="7" fillId="3" borderId="1" xfId="0" applyFont="1" applyFill="1" applyBorder="1" applyAlignment="1">
      <alignment horizontal="center" vertical="center"/>
    </xf>
    <xf numFmtId="165" fontId="7" fillId="3" borderId="1" xfId="1" applyNumberFormat="1" applyFont="1" applyFill="1" applyBorder="1" applyAlignment="1">
      <alignment horizontal="left" vertical="center" wrapText="1"/>
    </xf>
    <xf numFmtId="165" fontId="7" fillId="3" borderId="1" xfId="1" applyNumberFormat="1" applyFont="1" applyFill="1" applyBorder="1" applyAlignment="1">
      <alignment horizontal="center" vertical="center"/>
    </xf>
    <xf numFmtId="43" fontId="7" fillId="0" borderId="1" xfId="1" applyFont="1" applyFill="1" applyBorder="1" applyAlignment="1">
      <alignment vertical="center" wrapText="1"/>
    </xf>
    <xf numFmtId="43" fontId="8" fillId="0" borderId="1" xfId="1" applyFont="1" applyFill="1" applyBorder="1" applyAlignment="1">
      <alignment vertical="center" wrapText="1"/>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vertical="center"/>
    </xf>
    <xf numFmtId="43" fontId="7" fillId="0" borderId="1" xfId="1" applyFont="1" applyFill="1" applyBorder="1" applyAlignment="1">
      <alignment vertical="center"/>
    </xf>
    <xf numFmtId="0" fontId="10" fillId="0" borderId="0" xfId="0" applyFont="1"/>
    <xf numFmtId="43" fontId="10" fillId="0" borderId="0" xfId="1" applyFont="1"/>
    <xf numFmtId="43" fontId="8" fillId="0" borderId="1" xfId="1" applyFont="1" applyFill="1" applyBorder="1" applyAlignment="1">
      <alignment horizontal="center" vertical="center" wrapText="1"/>
    </xf>
    <xf numFmtId="43" fontId="8" fillId="0" borderId="1" xfId="1" applyFont="1" applyFill="1" applyBorder="1" applyAlignment="1">
      <alignment horizontal="center" vertical="center"/>
    </xf>
    <xf numFmtId="0" fontId="12" fillId="0" borderId="0" xfId="0" applyFont="1"/>
    <xf numFmtId="165" fontId="10" fillId="0" borderId="0" xfId="1" applyNumberFormat="1" applyFont="1" applyFill="1"/>
    <xf numFmtId="43" fontId="10" fillId="0" borderId="0" xfId="1" applyFont="1" applyFill="1"/>
    <xf numFmtId="43" fontId="8" fillId="0" borderId="1" xfId="1" applyFont="1" applyFill="1" applyBorder="1" applyAlignment="1">
      <alignment vertical="center"/>
    </xf>
    <xf numFmtId="165" fontId="13" fillId="2" borderId="1" xfId="1" applyNumberFormat="1" applyFont="1" applyFill="1" applyBorder="1" applyAlignment="1">
      <alignment horizontal="left" vertical="center" wrapText="1"/>
    </xf>
    <xf numFmtId="165" fontId="13" fillId="2" borderId="1" xfId="1" applyNumberFormat="1" applyFont="1" applyFill="1" applyBorder="1" applyAlignment="1">
      <alignment horizontal="center" vertical="center"/>
    </xf>
    <xf numFmtId="165" fontId="13" fillId="2" borderId="1" xfId="1" applyNumberFormat="1" applyFont="1" applyFill="1" applyBorder="1" applyAlignment="1">
      <alignment vertical="center"/>
    </xf>
    <xf numFmtId="165" fontId="7" fillId="0" borderId="1" xfId="1" applyNumberFormat="1" applyFont="1" applyFill="1" applyBorder="1" applyAlignment="1">
      <alignment horizontal="center"/>
    </xf>
    <xf numFmtId="0" fontId="11" fillId="0" borderId="0" xfId="0" applyFont="1"/>
    <xf numFmtId="43" fontId="11" fillId="0" borderId="0" xfId="1" applyFont="1"/>
    <xf numFmtId="43" fontId="5" fillId="2" borderId="1" xfId="1" applyFont="1" applyFill="1" applyBorder="1" applyAlignment="1">
      <alignment horizontal="center" vertical="center" wrapText="1"/>
    </xf>
    <xf numFmtId="165" fontId="10" fillId="3" borderId="0" xfId="1" applyNumberFormat="1" applyFont="1" applyFill="1"/>
    <xf numFmtId="43" fontId="10" fillId="3" borderId="0" xfId="1" applyFont="1" applyFill="1"/>
    <xf numFmtId="0" fontId="7" fillId="0" borderId="1" xfId="0" applyFont="1" applyBorder="1" applyAlignment="1">
      <alignment horizontal="center" vertical="center"/>
    </xf>
    <xf numFmtId="3" fontId="7" fillId="0" borderId="1" xfId="0" applyNumberFormat="1" applyFont="1" applyBorder="1" applyAlignment="1">
      <alignment vertical="center"/>
    </xf>
    <xf numFmtId="165" fontId="7" fillId="0" borderId="1" xfId="1" applyNumberFormat="1" applyFont="1" applyFill="1" applyBorder="1" applyAlignment="1">
      <alignment vertical="center"/>
    </xf>
    <xf numFmtId="43" fontId="13" fillId="0" borderId="1" xfId="1" applyFont="1" applyFill="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xf>
    <xf numFmtId="165" fontId="13" fillId="0" borderId="1" xfId="1" applyNumberFormat="1" applyFont="1" applyFill="1" applyBorder="1" applyAlignment="1">
      <alignment vertical="center"/>
    </xf>
    <xf numFmtId="0" fontId="10" fillId="3" borderId="0" xfId="0" applyFont="1" applyFill="1"/>
    <xf numFmtId="0" fontId="0" fillId="3" borderId="0" xfId="0" applyFill="1"/>
    <xf numFmtId="0" fontId="22" fillId="3" borderId="0" xfId="0" applyFont="1" applyFill="1"/>
    <xf numFmtId="0" fontId="22" fillId="0" borderId="0" xfId="0" applyFont="1"/>
    <xf numFmtId="43" fontId="7" fillId="3" borderId="1" xfId="1" applyFont="1" applyFill="1" applyBorder="1" applyAlignment="1">
      <alignment horizontal="center" vertical="center" wrapText="1"/>
    </xf>
    <xf numFmtId="43" fontId="8" fillId="3" borderId="1" xfId="1" applyFont="1" applyFill="1" applyBorder="1" applyAlignment="1">
      <alignment horizontal="center" vertical="center" wrapText="1"/>
    </xf>
    <xf numFmtId="0" fontId="24" fillId="3" borderId="0" xfId="0" applyFont="1" applyFill="1"/>
    <xf numFmtId="0" fontId="24" fillId="0" borderId="0" xfId="0" applyFont="1"/>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165" fontId="8" fillId="0" borderId="1" xfId="1" applyNumberFormat="1" applyFont="1" applyFill="1" applyBorder="1" applyAlignment="1">
      <alignment vertical="center"/>
    </xf>
    <xf numFmtId="0" fontId="3" fillId="0" borderId="0" xfId="0" applyFont="1"/>
    <xf numFmtId="0" fontId="2" fillId="0" borderId="0" xfId="0" applyFont="1"/>
    <xf numFmtId="0" fontId="13" fillId="2" borderId="1" xfId="0" applyFont="1" applyFill="1" applyBorder="1" applyAlignment="1">
      <alignment horizontal="center" vertical="center"/>
    </xf>
    <xf numFmtId="0" fontId="2" fillId="3" borderId="0" xfId="0" applyFont="1" applyFill="1"/>
    <xf numFmtId="43" fontId="23" fillId="0" borderId="1" xfId="1" applyFont="1" applyFill="1" applyBorder="1" applyAlignment="1">
      <alignment horizontal="center" vertical="center" wrapText="1"/>
    </xf>
    <xf numFmtId="43" fontId="13" fillId="2" borderId="1" xfId="1" applyFont="1" applyFill="1" applyBorder="1" applyAlignment="1">
      <alignment horizontal="center" vertical="center" wrapText="1"/>
    </xf>
    <xf numFmtId="0" fontId="0" fillId="0" borderId="0" xfId="0" applyAlignment="1">
      <alignment horizontal="center"/>
    </xf>
    <xf numFmtId="0" fontId="10" fillId="0" borderId="0" xfId="0" applyFont="1" applyAlignment="1">
      <alignment horizontal="center"/>
    </xf>
    <xf numFmtId="165" fontId="10" fillId="0" borderId="0" xfId="1" applyNumberFormat="1"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43" fontId="12" fillId="0" borderId="0" xfId="1" applyFont="1" applyFill="1"/>
    <xf numFmtId="165" fontId="11" fillId="0" borderId="0" xfId="1" applyNumberFormat="1" applyFont="1" applyFill="1"/>
    <xf numFmtId="165" fontId="11" fillId="0" borderId="0" xfId="1" applyNumberFormat="1" applyFont="1" applyFill="1" applyAlignment="1">
      <alignment horizontal="center"/>
    </xf>
    <xf numFmtId="43" fontId="11" fillId="0" borderId="0" xfId="1" applyFont="1" applyFill="1"/>
    <xf numFmtId="165" fontId="6" fillId="0" borderId="0" xfId="1" applyNumberFormat="1" applyFont="1" applyFill="1" applyAlignment="1">
      <alignment horizontal="center"/>
    </xf>
    <xf numFmtId="0" fontId="0" fillId="0" borderId="0" xfId="0" applyAlignment="1">
      <alignment vertical="center"/>
    </xf>
    <xf numFmtId="0" fontId="29" fillId="0" borderId="0" xfId="0" applyFont="1"/>
    <xf numFmtId="0" fontId="30" fillId="0" borderId="0" xfId="0" applyFont="1"/>
    <xf numFmtId="2" fontId="25" fillId="0" borderId="0" xfId="0" applyNumberFormat="1" applyFont="1" applyAlignment="1">
      <alignment horizontal="center" vertical="center"/>
    </xf>
    <xf numFmtId="2" fontId="21" fillId="0" borderId="1" xfId="1" applyNumberFormat="1" applyFont="1" applyFill="1" applyBorder="1" applyAlignment="1">
      <alignment horizontal="center" vertical="center" wrapText="1"/>
    </xf>
    <xf numFmtId="0" fontId="19" fillId="0" borderId="0" xfId="0" applyFont="1"/>
    <xf numFmtId="2" fontId="17" fillId="0" borderId="1" xfId="1" applyNumberFormat="1" applyFont="1" applyFill="1" applyBorder="1" applyAlignment="1">
      <alignment horizontal="center" vertical="center"/>
    </xf>
    <xf numFmtId="2" fontId="21" fillId="0" borderId="1" xfId="1" applyNumberFormat="1" applyFont="1" applyFill="1" applyBorder="1" applyAlignment="1">
      <alignment horizontal="center" vertical="center"/>
    </xf>
    <xf numFmtId="0" fontId="32" fillId="0" borderId="0" xfId="0" applyFont="1"/>
    <xf numFmtId="0" fontId="18" fillId="0" borderId="0" xfId="0" applyFont="1"/>
    <xf numFmtId="0" fontId="33" fillId="0" borderId="0" xfId="0" applyFont="1"/>
    <xf numFmtId="2" fontId="17" fillId="0" borderId="1" xfId="1" applyNumberFormat="1" applyFont="1" applyFill="1" applyBorder="1" applyAlignment="1">
      <alignment horizontal="center" vertical="center" wrapText="1"/>
    </xf>
    <xf numFmtId="2" fontId="17"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43" fontId="21" fillId="0" borderId="1" xfId="1" applyFont="1" applyFill="1" applyBorder="1" applyAlignment="1">
      <alignment horizontal="center" vertical="center" wrapText="1"/>
    </xf>
    <xf numFmtId="0" fontId="7" fillId="0" borderId="1" xfId="0" applyFont="1" applyBorder="1" applyAlignment="1">
      <alignment horizontal="left" wrapText="1"/>
    </xf>
    <xf numFmtId="165" fontId="7" fillId="3" borderId="1" xfId="1" applyNumberFormat="1" applyFont="1" applyFill="1" applyBorder="1" applyAlignment="1">
      <alignment vertical="center" wrapText="1"/>
    </xf>
    <xf numFmtId="43" fontId="8" fillId="0" borderId="1" xfId="1" applyFont="1" applyFill="1" applyBorder="1" applyAlignment="1">
      <alignment horizontal="left" vertical="center" wrapText="1"/>
    </xf>
    <xf numFmtId="43" fontId="7" fillId="0" borderId="1" xfId="1" applyFont="1" applyFill="1" applyBorder="1" applyAlignment="1">
      <alignment horizontal="left" vertical="center" wrapText="1"/>
    </xf>
    <xf numFmtId="43" fontId="5" fillId="2" borderId="1" xfId="1" applyFont="1" applyFill="1" applyBorder="1" applyAlignment="1">
      <alignment horizontal="left" vertical="center" wrapText="1"/>
    </xf>
    <xf numFmtId="43" fontId="13" fillId="2" borderId="1" xfId="1" applyFont="1" applyFill="1" applyBorder="1" applyAlignment="1">
      <alignment horizontal="left" vertical="center" wrapText="1"/>
    </xf>
    <xf numFmtId="43" fontId="8" fillId="3" borderId="1" xfId="1" applyFont="1" applyFill="1" applyBorder="1" applyAlignment="1">
      <alignment horizontal="left" vertical="center" wrapText="1"/>
    </xf>
    <xf numFmtId="43" fontId="7" fillId="3" borderId="1" xfId="1" applyFont="1" applyFill="1" applyBorder="1" applyAlignment="1">
      <alignment horizontal="left" vertical="center" wrapText="1"/>
    </xf>
    <xf numFmtId="0" fontId="7" fillId="3" borderId="1" xfId="0" applyFont="1" applyFill="1" applyBorder="1" applyAlignment="1">
      <alignment horizontal="left" vertical="center" wrapText="1"/>
    </xf>
    <xf numFmtId="0" fontId="30" fillId="0" borderId="1" xfId="0" applyFont="1" applyBorder="1" applyAlignment="1">
      <alignment horizontal="left" vertical="center"/>
    </xf>
    <xf numFmtId="0" fontId="7" fillId="3" borderId="1" xfId="0" applyFont="1" applyFill="1" applyBorder="1" applyAlignment="1">
      <alignment horizontal="left" vertical="center"/>
    </xf>
    <xf numFmtId="43" fontId="13" fillId="0" borderId="1" xfId="1" applyFont="1" applyFill="1" applyBorder="1" applyAlignment="1">
      <alignment horizontal="left" vertical="center" wrapText="1"/>
    </xf>
    <xf numFmtId="0" fontId="0" fillId="0" borderId="0" xfId="0" applyAlignment="1">
      <alignment horizontal="left" vertical="center"/>
    </xf>
    <xf numFmtId="0" fontId="8" fillId="0" borderId="1" xfId="0" applyFont="1" applyBorder="1" applyAlignment="1">
      <alignment vertical="center"/>
    </xf>
    <xf numFmtId="0" fontId="0" fillId="0" borderId="0" xfId="0" applyAlignment="1">
      <alignment horizontal="center" vertical="center"/>
    </xf>
    <xf numFmtId="43" fontId="14" fillId="0" borderId="1" xfId="1" applyFont="1" applyFill="1" applyBorder="1" applyAlignment="1">
      <alignment vertical="center"/>
    </xf>
    <xf numFmtId="43" fontId="15" fillId="0" borderId="1" xfId="1" applyFont="1" applyFill="1" applyBorder="1" applyAlignment="1">
      <alignment vertical="center"/>
    </xf>
    <xf numFmtId="43" fontId="14" fillId="0" borderId="1" xfId="0" applyNumberFormat="1" applyFont="1" applyBorder="1" applyAlignment="1">
      <alignment vertical="center"/>
    </xf>
    <xf numFmtId="43" fontId="14" fillId="0" borderId="1" xfId="1" applyFont="1" applyFill="1" applyBorder="1" applyAlignment="1">
      <alignment horizontal="right" vertical="center"/>
    </xf>
    <xf numFmtId="43" fontId="15" fillId="0" borderId="1" xfId="0" applyNumberFormat="1" applyFont="1" applyBorder="1" applyAlignment="1">
      <alignment horizontal="right" vertical="center"/>
    </xf>
    <xf numFmtId="43" fontId="14" fillId="0" borderId="1" xfId="0" applyNumberFormat="1" applyFont="1" applyBorder="1" applyAlignment="1">
      <alignment horizontal="right" vertical="center"/>
    </xf>
    <xf numFmtId="43" fontId="5" fillId="2" borderId="1" xfId="1" applyFont="1" applyFill="1" applyBorder="1" applyAlignment="1">
      <alignment horizontal="right" vertical="center"/>
    </xf>
    <xf numFmtId="43" fontId="7" fillId="0" borderId="1" xfId="1" applyFont="1" applyFill="1" applyBorder="1" applyAlignment="1">
      <alignment horizontal="right" vertical="center"/>
    </xf>
    <xf numFmtId="43" fontId="9" fillId="0" borderId="1" xfId="1" applyFont="1" applyFill="1" applyBorder="1" applyAlignment="1">
      <alignment horizontal="right" vertical="center"/>
    </xf>
    <xf numFmtId="43" fontId="8" fillId="0" borderId="1" xfId="0" applyNumberFormat="1" applyFont="1" applyBorder="1" applyAlignment="1">
      <alignment horizontal="right" vertical="center"/>
    </xf>
    <xf numFmtId="43" fontId="8" fillId="0" borderId="1" xfId="1" applyFont="1" applyFill="1" applyBorder="1" applyAlignment="1">
      <alignment horizontal="right" vertical="center"/>
    </xf>
    <xf numFmtId="43" fontId="15" fillId="0" borderId="1" xfId="1" applyFont="1" applyFill="1" applyBorder="1" applyAlignment="1">
      <alignment horizontal="right" vertical="center"/>
    </xf>
    <xf numFmtId="43" fontId="14" fillId="3" borderId="1" xfId="1" applyFont="1" applyFill="1" applyBorder="1" applyAlignment="1">
      <alignment horizontal="right" vertical="center"/>
    </xf>
    <xf numFmtId="43" fontId="8" fillId="3" borderId="1" xfId="1" applyFont="1" applyFill="1" applyBorder="1" applyAlignment="1">
      <alignment horizontal="right" vertical="center"/>
    </xf>
    <xf numFmtId="43" fontId="13" fillId="2" borderId="1" xfId="1" applyFont="1" applyFill="1" applyBorder="1" applyAlignment="1">
      <alignment horizontal="right" vertical="center"/>
    </xf>
    <xf numFmtId="43" fontId="13" fillId="2" borderId="1" xfId="0" applyNumberFormat="1" applyFont="1" applyFill="1" applyBorder="1" applyAlignment="1">
      <alignment horizontal="right" vertical="center"/>
    </xf>
    <xf numFmtId="43" fontId="7" fillId="0" borderId="1" xfId="0" applyNumberFormat="1" applyFont="1" applyBorder="1" applyAlignment="1">
      <alignment horizontal="right" vertical="center"/>
    </xf>
    <xf numFmtId="43" fontId="13" fillId="0" borderId="1" xfId="1" applyFont="1" applyFill="1" applyBorder="1" applyAlignment="1">
      <alignment horizontal="right" vertical="center"/>
    </xf>
    <xf numFmtId="43" fontId="21" fillId="0" borderId="1" xfId="1" applyFont="1" applyFill="1" applyBorder="1" applyAlignment="1">
      <alignment horizontal="right" vertical="center"/>
    </xf>
    <xf numFmtId="43" fontId="7" fillId="3" borderId="1" xfId="4" applyNumberFormat="1" applyFont="1" applyFill="1" applyBorder="1" applyAlignment="1">
      <alignment horizontal="right" vertical="center"/>
    </xf>
    <xf numFmtId="43" fontId="7" fillId="2" borderId="1" xfId="1" applyFont="1" applyFill="1" applyBorder="1" applyAlignment="1">
      <alignment horizontal="right" vertical="center"/>
    </xf>
    <xf numFmtId="43" fontId="0" fillId="0" borderId="0" xfId="0" applyNumberFormat="1" applyAlignment="1">
      <alignment horizontal="right" vertical="center"/>
    </xf>
    <xf numFmtId="165" fontId="7" fillId="0" borderId="1"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43" fontId="7" fillId="3" borderId="1" xfId="1" applyFont="1" applyFill="1" applyBorder="1" applyAlignment="1">
      <alignment horizontal="right" vertical="center"/>
    </xf>
    <xf numFmtId="165" fontId="13" fillId="2" borderId="1" xfId="1" applyNumberFormat="1" applyFont="1" applyFill="1" applyBorder="1" applyAlignment="1">
      <alignment horizontal="right" vertical="center"/>
    </xf>
    <xf numFmtId="3" fontId="7" fillId="0" borderId="1" xfId="0" applyNumberFormat="1" applyFont="1" applyBorder="1" applyAlignment="1">
      <alignment horizontal="right" vertical="center"/>
    </xf>
    <xf numFmtId="165" fontId="13" fillId="0" borderId="1" xfId="1" applyNumberFormat="1" applyFont="1" applyFill="1" applyBorder="1" applyAlignment="1">
      <alignment horizontal="right" vertical="center"/>
    </xf>
    <xf numFmtId="0" fontId="0" fillId="0" borderId="0" xfId="0" applyAlignment="1">
      <alignment horizontal="right"/>
    </xf>
    <xf numFmtId="0" fontId="0" fillId="0" borderId="0" xfId="0" applyAlignment="1">
      <alignment horizontal="right" vertical="center"/>
    </xf>
    <xf numFmtId="165" fontId="7" fillId="0" borderId="1" xfId="1" applyNumberFormat="1" applyFont="1" applyFill="1" applyBorder="1" applyAlignment="1"/>
    <xf numFmtId="0" fontId="34" fillId="0" borderId="0" xfId="0" applyFont="1"/>
    <xf numFmtId="43" fontId="7" fillId="0" borderId="7" xfId="1" applyFont="1" applyFill="1" applyBorder="1" applyAlignment="1">
      <alignment horizontal="center" vertical="center" wrapText="1"/>
    </xf>
    <xf numFmtId="0" fontId="31" fillId="0" borderId="9" xfId="0" applyFont="1" applyBorder="1" applyAlignment="1">
      <alignment horizontal="center" vertical="center" wrapText="1"/>
    </xf>
    <xf numFmtId="2" fontId="30" fillId="0" borderId="11" xfId="0" applyNumberFormat="1" applyFont="1" applyBorder="1" applyAlignment="1">
      <alignment horizontal="center" vertical="center"/>
    </xf>
    <xf numFmtId="2" fontId="26" fillId="2" borderId="11" xfId="0" applyNumberFormat="1" applyFont="1" applyFill="1" applyBorder="1" applyAlignment="1">
      <alignment horizontal="center" vertical="center"/>
    </xf>
    <xf numFmtId="2" fontId="27" fillId="0" borderId="11" xfId="1" applyNumberFormat="1" applyFont="1" applyFill="1" applyBorder="1" applyAlignment="1">
      <alignment horizontal="center" vertical="center"/>
    </xf>
    <xf numFmtId="165" fontId="7" fillId="0" borderId="12" xfId="1" applyNumberFormat="1" applyFont="1" applyFill="1" applyBorder="1" applyAlignment="1">
      <alignment horizontal="right" vertical="center"/>
    </xf>
    <xf numFmtId="2" fontId="28" fillId="0" borderId="11" xfId="0" applyNumberFormat="1" applyFont="1" applyBorder="1" applyAlignment="1">
      <alignment horizontal="center" vertical="center"/>
    </xf>
    <xf numFmtId="2" fontId="27" fillId="0" borderId="11" xfId="0" applyNumberFormat="1" applyFont="1" applyBorder="1" applyAlignment="1">
      <alignment horizontal="center" vertical="center"/>
    </xf>
    <xf numFmtId="2" fontId="21" fillId="3" borderId="11" xfId="3" applyNumberFormat="1" applyFont="1" applyFill="1" applyBorder="1" applyAlignment="1">
      <alignment horizontal="center" vertical="center"/>
    </xf>
    <xf numFmtId="2" fontId="26" fillId="2" borderId="11" xfId="3" applyNumberFormat="1" applyFont="1" applyFill="1" applyBorder="1" applyAlignment="1">
      <alignment horizontal="center" vertical="center"/>
    </xf>
    <xf numFmtId="2" fontId="28" fillId="0" borderId="11" xfId="1" applyNumberFormat="1" applyFont="1" applyFill="1" applyBorder="1" applyAlignment="1">
      <alignment horizontal="center" vertical="center"/>
    </xf>
    <xf numFmtId="2" fontId="21" fillId="3" borderId="11" xfId="0" applyNumberFormat="1" applyFont="1" applyFill="1" applyBorder="1" applyAlignment="1">
      <alignment horizontal="center" vertical="center"/>
    </xf>
    <xf numFmtId="2" fontId="27" fillId="3" borderId="11" xfId="0" applyNumberFormat="1" applyFont="1" applyFill="1" applyBorder="1" applyAlignment="1">
      <alignment horizontal="center" vertical="center"/>
    </xf>
    <xf numFmtId="2" fontId="27" fillId="0" borderId="11" xfId="1" applyNumberFormat="1" applyFont="1" applyFill="1" applyBorder="1" applyAlignment="1">
      <alignment horizontal="center" vertical="center" wrapText="1"/>
    </xf>
    <xf numFmtId="2" fontId="28" fillId="0" borderId="11" xfId="1" applyNumberFormat="1" applyFont="1" applyFill="1" applyBorder="1" applyAlignment="1">
      <alignment horizontal="center" vertical="center" wrapText="1"/>
    </xf>
    <xf numFmtId="2" fontId="21" fillId="0" borderId="11" xfId="1" applyNumberFormat="1" applyFont="1" applyFill="1" applyBorder="1" applyAlignment="1">
      <alignment horizontal="center" vertical="center" wrapText="1"/>
    </xf>
    <xf numFmtId="2" fontId="26" fillId="2" borderId="11" xfId="1" applyNumberFormat="1" applyFont="1" applyFill="1" applyBorder="1" applyAlignment="1">
      <alignment horizontal="center" vertical="center" wrapText="1"/>
    </xf>
    <xf numFmtId="2" fontId="21" fillId="0" borderId="11" xfId="1" applyNumberFormat="1" applyFont="1" applyFill="1" applyBorder="1" applyAlignment="1">
      <alignment horizontal="center" vertical="center"/>
    </xf>
    <xf numFmtId="2" fontId="27" fillId="3" borderId="11" xfId="1" applyNumberFormat="1" applyFont="1" applyFill="1" applyBorder="1" applyAlignment="1">
      <alignment horizontal="center" vertical="center" wrapText="1"/>
    </xf>
    <xf numFmtId="2" fontId="28" fillId="3" borderId="11" xfId="1" applyNumberFormat="1" applyFont="1" applyFill="1" applyBorder="1" applyAlignment="1">
      <alignment horizontal="center" vertical="center" wrapText="1"/>
    </xf>
    <xf numFmtId="2" fontId="25" fillId="3" borderId="11" xfId="0" applyNumberFormat="1" applyFont="1" applyFill="1" applyBorder="1" applyAlignment="1">
      <alignment horizontal="center" vertical="center"/>
    </xf>
    <xf numFmtId="2" fontId="21" fillId="0" borderId="11" xfId="0" applyNumberFormat="1" applyFont="1" applyBorder="1" applyAlignment="1">
      <alignment horizontal="center" vertical="center"/>
    </xf>
    <xf numFmtId="43" fontId="5" fillId="2" borderId="1" xfId="0" applyNumberFormat="1" applyFont="1" applyFill="1" applyBorder="1" applyAlignment="1">
      <alignment horizontal="right" vertical="center"/>
    </xf>
    <xf numFmtId="165" fontId="20" fillId="3" borderId="1" xfId="1" applyNumberFormat="1" applyFont="1" applyFill="1" applyBorder="1" applyAlignment="1">
      <alignment horizontal="left" vertical="center" wrapText="1"/>
    </xf>
    <xf numFmtId="165" fontId="16" fillId="3" borderId="1" xfId="1" applyNumberFormat="1" applyFont="1" applyFill="1" applyBorder="1" applyAlignment="1">
      <alignment horizontal="center" vertical="center"/>
    </xf>
    <xf numFmtId="43" fontId="16" fillId="3" borderId="1" xfId="1" applyFont="1" applyFill="1" applyBorder="1" applyAlignment="1">
      <alignment horizontal="right" vertical="center"/>
    </xf>
    <xf numFmtId="165" fontId="16" fillId="3" borderId="1" xfId="1" applyNumberFormat="1" applyFont="1" applyFill="1" applyBorder="1" applyAlignment="1">
      <alignment horizontal="left" vertical="center" wrapText="1"/>
    </xf>
    <xf numFmtId="2" fontId="25" fillId="3" borderId="11" xfId="1" applyNumberFormat="1" applyFont="1" applyFill="1" applyBorder="1" applyAlignment="1">
      <alignment horizontal="center" vertical="center"/>
    </xf>
    <xf numFmtId="2" fontId="29" fillId="3" borderId="11" xfId="1" applyNumberFormat="1" applyFont="1" applyFill="1" applyBorder="1" applyAlignment="1">
      <alignment horizontal="center" vertical="center"/>
    </xf>
    <xf numFmtId="165" fontId="20" fillId="3" borderId="1" xfId="1" applyNumberFormat="1" applyFont="1" applyFill="1" applyBorder="1" applyAlignment="1">
      <alignment horizontal="center" vertical="center"/>
    </xf>
    <xf numFmtId="43" fontId="20" fillId="3" borderId="1" xfId="1" applyFont="1" applyFill="1" applyBorder="1" applyAlignment="1">
      <alignment horizontal="right" vertical="center"/>
    </xf>
    <xf numFmtId="2" fontId="30" fillId="3" borderId="11" xfId="1" applyNumberFormat="1" applyFont="1" applyFill="1" applyBorder="1" applyAlignment="1">
      <alignment horizontal="center" vertical="center"/>
    </xf>
    <xf numFmtId="2" fontId="27" fillId="0" borderId="11" xfId="0" applyNumberFormat="1" applyFont="1" applyBorder="1" applyAlignment="1">
      <alignment horizontal="center" vertical="center" wrapText="1"/>
    </xf>
    <xf numFmtId="2" fontId="28" fillId="0" borderId="11" xfId="0" applyNumberFormat="1" applyFont="1" applyBorder="1" applyAlignment="1">
      <alignment horizontal="center" vertical="center" wrapText="1"/>
    </xf>
    <xf numFmtId="2" fontId="26" fillId="0" borderId="11" xfId="0" applyNumberFormat="1" applyFont="1" applyBorder="1" applyAlignment="1">
      <alignment horizontal="center" vertical="center" wrapText="1"/>
    </xf>
    <xf numFmtId="2" fontId="21" fillId="0" borderId="11" xfId="0" applyNumberFormat="1" applyFont="1" applyBorder="1" applyAlignment="1">
      <alignment horizontal="center" vertical="center" wrapText="1"/>
    </xf>
    <xf numFmtId="2" fontId="26" fillId="2" borderId="11" xfId="1" applyNumberFormat="1" applyFont="1" applyFill="1" applyBorder="1" applyAlignment="1">
      <alignment horizontal="center" vertical="center"/>
    </xf>
    <xf numFmtId="2" fontId="27" fillId="3" borderId="11" xfId="1" applyNumberFormat="1" applyFont="1" applyFill="1" applyBorder="1" applyAlignment="1">
      <alignment horizontal="center" vertical="center"/>
    </xf>
    <xf numFmtId="2" fontId="26" fillId="0" borderId="11" xfId="1" applyNumberFormat="1" applyFont="1" applyFill="1" applyBorder="1" applyAlignment="1">
      <alignment horizontal="center" vertical="center" wrapText="1"/>
    </xf>
    <xf numFmtId="43" fontId="8" fillId="0" borderId="14" xfId="1" applyFont="1" applyFill="1" applyBorder="1" applyAlignment="1">
      <alignment horizontal="right" vertical="center"/>
    </xf>
    <xf numFmtId="165" fontId="8" fillId="0" borderId="14" xfId="1" applyNumberFormat="1" applyFont="1" applyFill="1" applyBorder="1" applyAlignment="1">
      <alignment horizontal="right" vertical="center"/>
    </xf>
    <xf numFmtId="2" fontId="5" fillId="2" borderId="11" xfId="0" applyNumberFormat="1" applyFont="1" applyFill="1" applyBorder="1" applyAlignment="1">
      <alignment horizontal="center" vertical="center"/>
    </xf>
    <xf numFmtId="2" fontId="17" fillId="0" borderId="11" xfId="1" applyNumberFormat="1" applyFont="1" applyFill="1" applyBorder="1" applyAlignment="1">
      <alignment horizontal="center" vertical="center"/>
    </xf>
    <xf numFmtId="2" fontId="17" fillId="0" borderId="11" xfId="0" applyNumberFormat="1" applyFont="1" applyBorder="1" applyAlignment="1">
      <alignment horizontal="center" vertical="center"/>
    </xf>
    <xf numFmtId="2" fontId="5" fillId="2" borderId="11" xfId="3" applyNumberFormat="1" applyFont="1" applyFill="1" applyBorder="1" applyAlignment="1">
      <alignment horizontal="center" vertical="center"/>
    </xf>
    <xf numFmtId="2" fontId="17" fillId="3" borderId="11" xfId="0" applyNumberFormat="1" applyFont="1" applyFill="1" applyBorder="1" applyAlignment="1">
      <alignment horizontal="center" vertical="center"/>
    </xf>
    <xf numFmtId="2" fontId="17" fillId="0" borderId="11" xfId="1" applyNumberFormat="1" applyFont="1" applyFill="1" applyBorder="1" applyAlignment="1">
      <alignment horizontal="center" vertical="center" wrapText="1"/>
    </xf>
    <xf numFmtId="2" fontId="5" fillId="2" borderId="11" xfId="1" applyNumberFormat="1" applyFont="1" applyFill="1" applyBorder="1" applyAlignment="1">
      <alignment horizontal="center" vertical="center" wrapText="1"/>
    </xf>
    <xf numFmtId="2" fontId="17" fillId="3" borderId="11" xfId="1" applyNumberFormat="1" applyFont="1" applyFill="1" applyBorder="1" applyAlignment="1">
      <alignment horizontal="center" vertical="center" wrapText="1"/>
    </xf>
    <xf numFmtId="2" fontId="21" fillId="3" borderId="11" xfId="1"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0" fillId="0" borderId="0" xfId="0" applyAlignment="1">
      <alignment horizontal="left"/>
    </xf>
    <xf numFmtId="165" fontId="9" fillId="0" borderId="1" xfId="1" applyNumberFormat="1" applyFont="1" applyFill="1" applyBorder="1" applyAlignment="1">
      <alignment vertical="center"/>
    </xf>
    <xf numFmtId="4" fontId="13" fillId="2" borderId="1" xfId="0" applyNumberFormat="1" applyFont="1" applyFill="1" applyBorder="1" applyAlignment="1">
      <alignment vertical="center"/>
    </xf>
    <xf numFmtId="165" fontId="9" fillId="0" borderId="1" xfId="1" applyNumberFormat="1" applyFont="1" applyFill="1" applyBorder="1" applyAlignment="1">
      <alignment horizontal="right" vertical="center"/>
    </xf>
    <xf numFmtId="4" fontId="13" fillId="2" borderId="1" xfId="0" applyNumberFormat="1" applyFont="1" applyFill="1" applyBorder="1" applyAlignment="1">
      <alignment horizontal="right" vertical="center"/>
    </xf>
    <xf numFmtId="43" fontId="15" fillId="0" borderId="1" xfId="0" applyNumberFormat="1" applyFont="1" applyBorder="1" applyAlignment="1">
      <alignment vertical="center"/>
    </xf>
    <xf numFmtId="43" fontId="5" fillId="2" borderId="1" xfId="1" applyFont="1" applyFill="1" applyBorder="1" applyAlignment="1">
      <alignment vertical="center"/>
    </xf>
    <xf numFmtId="43" fontId="8" fillId="0" borderId="1" xfId="0" applyNumberFormat="1" applyFont="1" applyBorder="1" applyAlignment="1">
      <alignment vertical="center"/>
    </xf>
    <xf numFmtId="43" fontId="14" fillId="3" borderId="1" xfId="1" applyFont="1" applyFill="1" applyBorder="1" applyAlignment="1">
      <alignment vertical="center"/>
    </xf>
    <xf numFmtId="43" fontId="8" fillId="3" borderId="1" xfId="1" applyFont="1" applyFill="1" applyBorder="1" applyAlignment="1">
      <alignment vertical="center"/>
    </xf>
    <xf numFmtId="165" fontId="14" fillId="0" borderId="1" xfId="1" applyNumberFormat="1" applyFont="1" applyFill="1" applyBorder="1" applyAlignment="1">
      <alignment vertical="center"/>
    </xf>
    <xf numFmtId="43" fontId="9" fillId="0" borderId="1" xfId="1" applyFont="1" applyFill="1" applyBorder="1" applyAlignment="1">
      <alignment vertical="center"/>
    </xf>
    <xf numFmtId="43" fontId="13" fillId="2" borderId="1" xfId="1" applyFont="1" applyFill="1" applyBorder="1" applyAlignment="1">
      <alignment vertical="center"/>
    </xf>
    <xf numFmtId="0" fontId="7" fillId="3" borderId="1" xfId="4" applyFont="1" applyFill="1" applyBorder="1" applyAlignment="1">
      <alignment vertical="center"/>
    </xf>
    <xf numFmtId="43" fontId="13" fillId="0" borderId="1" xfId="1" applyFont="1" applyFill="1" applyBorder="1" applyAlignment="1">
      <alignment vertical="center"/>
    </xf>
    <xf numFmtId="43" fontId="7" fillId="3" borderId="1" xfId="1" applyFont="1" applyFill="1" applyBorder="1" applyAlignment="1">
      <alignment vertical="center"/>
    </xf>
    <xf numFmtId="0" fontId="31" fillId="0" borderId="8" xfId="0" applyFont="1" applyBorder="1" applyAlignment="1">
      <alignment horizontal="center" vertical="center" wrapText="1"/>
    </xf>
    <xf numFmtId="0" fontId="34" fillId="0" borderId="0" xfId="0" applyFont="1" applyAlignment="1">
      <alignment horizontal="center" vertical="center"/>
    </xf>
    <xf numFmtId="2" fontId="21" fillId="0" borderId="8"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2" fontId="19" fillId="3" borderId="1" xfId="0" applyNumberFormat="1" applyFont="1" applyFill="1" applyBorder="1" applyAlignment="1">
      <alignment horizontal="center" vertical="center"/>
    </xf>
    <xf numFmtId="2" fontId="19" fillId="0" borderId="1" xfId="0" applyNumberFormat="1" applyFont="1" applyBorder="1" applyAlignment="1">
      <alignment horizontal="center" vertical="center"/>
    </xf>
    <xf numFmtId="2" fontId="18" fillId="0" borderId="0" xfId="0" applyNumberFormat="1" applyFont="1" applyAlignment="1">
      <alignment horizontal="center" vertical="center"/>
    </xf>
    <xf numFmtId="43" fontId="21" fillId="0" borderId="1" xfId="1" applyFont="1" applyFill="1" applyBorder="1" applyAlignment="1">
      <alignment vertical="center"/>
    </xf>
    <xf numFmtId="43" fontId="7" fillId="0" borderId="7" xfId="1" applyFont="1" applyFill="1" applyBorder="1" applyAlignment="1">
      <alignment horizontal="center" vertical="center"/>
    </xf>
    <xf numFmtId="2" fontId="19" fillId="3" borderId="11" xfId="0" applyNumberFormat="1" applyFont="1" applyFill="1" applyBorder="1" applyAlignment="1">
      <alignment horizontal="center" vertical="center"/>
    </xf>
    <xf numFmtId="43" fontId="5" fillId="2" borderId="1" xfId="0" applyNumberFormat="1" applyFont="1" applyFill="1" applyBorder="1" applyAlignment="1">
      <alignment vertical="center"/>
    </xf>
    <xf numFmtId="2" fontId="16" fillId="3" borderId="1" xfId="1" applyNumberFormat="1" applyFont="1" applyFill="1" applyBorder="1" applyAlignment="1">
      <alignment vertical="center"/>
    </xf>
    <xf numFmtId="2" fontId="19" fillId="3" borderId="11" xfId="1" applyNumberFormat="1" applyFont="1" applyFill="1" applyBorder="1" applyAlignment="1">
      <alignment horizontal="center" vertical="center"/>
    </xf>
    <xf numFmtId="2" fontId="17" fillId="0" borderId="11"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2" borderId="11" xfId="1" applyNumberFormat="1" applyFont="1" applyFill="1" applyBorder="1" applyAlignment="1">
      <alignment horizontal="center" vertical="center"/>
    </xf>
    <xf numFmtId="2" fontId="17" fillId="3" borderId="11" xfId="1" applyNumberFormat="1" applyFont="1" applyFill="1" applyBorder="1" applyAlignment="1">
      <alignment horizontal="center" vertical="center"/>
    </xf>
    <xf numFmtId="2" fontId="5" fillId="0" borderId="11" xfId="1" applyNumberFormat="1" applyFont="1" applyFill="1" applyBorder="1" applyAlignment="1">
      <alignment horizontal="center" vertical="center" wrapText="1"/>
    </xf>
    <xf numFmtId="165" fontId="8" fillId="0" borderId="14" xfId="1" applyNumberFormat="1" applyFont="1" applyFill="1" applyBorder="1" applyAlignment="1">
      <alignment horizontal="center" vertical="center"/>
    </xf>
    <xf numFmtId="2" fontId="20" fillId="3" borderId="1" xfId="1" applyNumberFormat="1" applyFont="1" applyFill="1" applyBorder="1" applyAlignment="1">
      <alignment vertical="center"/>
    </xf>
    <xf numFmtId="43" fontId="7" fillId="2" borderId="1" xfId="1" applyFont="1" applyFill="1" applyBorder="1" applyAlignment="1">
      <alignment vertical="center"/>
    </xf>
    <xf numFmtId="166" fontId="7" fillId="0" borderId="1" xfId="1" applyNumberFormat="1" applyFont="1" applyFill="1" applyBorder="1" applyAlignment="1">
      <alignment vertical="center"/>
    </xf>
    <xf numFmtId="166" fontId="7" fillId="3" borderId="1" xfId="1" applyNumberFormat="1" applyFont="1" applyFill="1" applyBorder="1" applyAlignment="1">
      <alignment vertical="center"/>
    </xf>
    <xf numFmtId="43" fontId="22" fillId="0" borderId="0" xfId="0" applyNumberFormat="1" applyFont="1" applyAlignment="1">
      <alignment horizontal="right" vertical="center"/>
    </xf>
    <xf numFmtId="0" fontId="7" fillId="0" borderId="1" xfId="0" applyFont="1" applyBorder="1" applyAlignment="1">
      <alignment horizontal="center" vertical="center" wrapText="1"/>
    </xf>
    <xf numFmtId="166" fontId="7" fillId="0" borderId="1" xfId="1" applyNumberFormat="1" applyFont="1" applyFill="1" applyBorder="1" applyAlignment="1">
      <alignment horizontal="right" vertical="center"/>
    </xf>
    <xf numFmtId="166" fontId="7" fillId="3" borderId="1" xfId="1" applyNumberFormat="1" applyFont="1" applyFill="1" applyBorder="1" applyAlignment="1">
      <alignment horizontal="right" vertical="center"/>
    </xf>
    <xf numFmtId="2" fontId="16" fillId="3" borderId="1" xfId="1" applyNumberFormat="1" applyFont="1" applyFill="1" applyBorder="1" applyAlignment="1">
      <alignment horizontal="right" vertical="center"/>
    </xf>
    <xf numFmtId="2" fontId="20" fillId="3" borderId="1" xfId="1" applyNumberFormat="1" applyFont="1" applyFill="1" applyBorder="1" applyAlignment="1">
      <alignment horizontal="right" vertical="center"/>
    </xf>
    <xf numFmtId="0" fontId="22" fillId="3" borderId="0" xfId="0" applyFont="1" applyFill="1" applyAlignment="1">
      <alignment horizontal="center" vertical="center"/>
    </xf>
    <xf numFmtId="0" fontId="7" fillId="3" borderId="1" xfId="4" applyFont="1" applyFill="1" applyBorder="1" applyAlignment="1">
      <alignment horizontal="left" vertical="top" wrapText="1"/>
    </xf>
    <xf numFmtId="0" fontId="7" fillId="3" borderId="1" xfId="4" applyFont="1" applyFill="1" applyBorder="1" applyAlignment="1">
      <alignment horizontal="center" vertical="top" wrapText="1"/>
    </xf>
    <xf numFmtId="43" fontId="7" fillId="3" borderId="1" xfId="4" applyNumberFormat="1" applyFont="1" applyFill="1" applyBorder="1" applyAlignment="1">
      <alignment horizontal="right" vertical="top" wrapText="1"/>
    </xf>
    <xf numFmtId="0" fontId="8" fillId="3" borderId="1" xfId="4" applyFont="1" applyFill="1" applyBorder="1" applyAlignment="1">
      <alignment horizontal="left" vertical="top" wrapText="1"/>
    </xf>
    <xf numFmtId="43" fontId="5" fillId="2" borderId="1" xfId="6" applyFont="1" applyFill="1" applyBorder="1" applyAlignment="1">
      <alignment horizontal="center" vertical="center" wrapText="1"/>
    </xf>
    <xf numFmtId="0" fontId="37" fillId="0" borderId="0" xfId="0" applyFont="1"/>
    <xf numFmtId="41" fontId="7" fillId="0" borderId="1" xfId="2" applyFont="1" applyFill="1" applyBorder="1" applyAlignment="1">
      <alignment vertical="center"/>
    </xf>
    <xf numFmtId="0" fontId="8" fillId="3" borderId="1" xfId="4" applyFont="1" applyFill="1" applyBorder="1" applyAlignment="1">
      <alignment horizontal="center" vertical="top" wrapText="1"/>
    </xf>
    <xf numFmtId="43" fontId="8" fillId="3" borderId="1" xfId="4" applyNumberFormat="1" applyFont="1" applyFill="1" applyBorder="1" applyAlignment="1">
      <alignment horizontal="right" vertical="top" wrapText="1"/>
    </xf>
    <xf numFmtId="0" fontId="7" fillId="0" borderId="1" xfId="0" applyFont="1" applyBorder="1" applyAlignment="1">
      <alignment horizontal="right" vertical="center" wrapText="1"/>
    </xf>
    <xf numFmtId="0" fontId="5" fillId="2" borderId="1" xfId="0" applyFont="1" applyFill="1" applyBorder="1" applyAlignment="1">
      <alignment horizontal="right" vertical="center" wrapText="1"/>
    </xf>
    <xf numFmtId="43" fontId="7" fillId="0" borderId="7" xfId="1" applyFont="1" applyFill="1" applyBorder="1" applyAlignment="1">
      <alignmen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xf>
    <xf numFmtId="165" fontId="0" fillId="0" borderId="0" xfId="0" applyNumberFormat="1" applyAlignment="1">
      <alignment horizontal="right" vertical="center"/>
    </xf>
    <xf numFmtId="43" fontId="5" fillId="2" borderId="1" xfId="0" applyNumberFormat="1" applyFont="1" applyFill="1" applyBorder="1" applyAlignment="1">
      <alignment horizontal="right" vertical="center" wrapText="1"/>
    </xf>
    <xf numFmtId="43" fontId="7" fillId="0" borderId="1" xfId="0" applyNumberFormat="1" applyFont="1" applyBorder="1" applyAlignment="1">
      <alignment horizontal="right" vertical="center" wrapText="1"/>
    </xf>
    <xf numFmtId="2" fontId="19" fillId="0" borderId="11" xfId="0" applyNumberFormat="1" applyFont="1" applyBorder="1" applyAlignment="1">
      <alignment horizontal="center" vertical="center"/>
    </xf>
    <xf numFmtId="2" fontId="7" fillId="0" borderId="1" xfId="1" applyNumberFormat="1" applyFont="1" applyFill="1" applyBorder="1" applyAlignment="1">
      <alignment horizontal="left" vertical="center"/>
    </xf>
    <xf numFmtId="2" fontId="18" fillId="0" borderId="11" xfId="0" applyNumberFormat="1" applyFont="1" applyBorder="1" applyAlignment="1">
      <alignment horizontal="center" vertical="center"/>
    </xf>
    <xf numFmtId="0" fontId="0" fillId="0" borderId="1" xfId="0" applyBorder="1" applyAlignment="1">
      <alignment horizontal="center" vertical="center"/>
    </xf>
    <xf numFmtId="43" fontId="0" fillId="0" borderId="1" xfId="0" applyNumberFormat="1" applyBorder="1" applyAlignment="1">
      <alignment horizontal="right" vertical="center"/>
    </xf>
    <xf numFmtId="2" fontId="18" fillId="0" borderId="13" xfId="0" applyNumberFormat="1" applyFont="1" applyBorder="1" applyAlignment="1">
      <alignment horizontal="center" vertical="center"/>
    </xf>
    <xf numFmtId="165" fontId="8" fillId="0" borderId="14" xfId="1" applyNumberFormat="1" applyFont="1" applyFill="1" applyBorder="1" applyAlignment="1">
      <alignment horizontal="left" vertical="center" wrapText="1"/>
    </xf>
    <xf numFmtId="165" fontId="10" fillId="3" borderId="0" xfId="1" applyNumberFormat="1" applyFont="1" applyFill="1" applyAlignment="1">
      <alignment horizontal="center"/>
    </xf>
    <xf numFmtId="0" fontId="10" fillId="3" borderId="0" xfId="0" applyFont="1" applyFill="1" applyAlignment="1">
      <alignment horizontal="center"/>
    </xf>
    <xf numFmtId="2" fontId="30"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0" fillId="0" borderId="1" xfId="0" applyBorder="1" applyAlignment="1">
      <alignment horizontal="right" vertical="center"/>
    </xf>
    <xf numFmtId="43" fontId="31" fillId="0" borderId="9" xfId="0" applyNumberFormat="1" applyFont="1" applyBorder="1" applyAlignment="1">
      <alignment horizontal="center" vertical="center"/>
    </xf>
    <xf numFmtId="2" fontId="33" fillId="0" borderId="0" xfId="0" applyNumberFormat="1" applyFont="1" applyAlignment="1">
      <alignment horizontal="center" vertical="center"/>
    </xf>
    <xf numFmtId="165" fontId="7" fillId="3" borderId="1" xfId="1" applyNumberFormat="1" applyFont="1" applyFill="1" applyBorder="1" applyAlignment="1">
      <alignment horizontal="right" vertical="top" wrapText="1"/>
    </xf>
    <xf numFmtId="165" fontId="0" fillId="0" borderId="0" xfId="0" applyNumberFormat="1"/>
    <xf numFmtId="165" fontId="7" fillId="0" borderId="1" xfId="1" applyNumberFormat="1" applyFont="1" applyFill="1" applyBorder="1" applyAlignment="1">
      <alignment horizontal="center" vertical="center" wrapText="1"/>
    </xf>
    <xf numFmtId="43" fontId="23" fillId="0" borderId="1" xfId="1" applyFont="1" applyFill="1" applyBorder="1" applyAlignment="1">
      <alignment horizontal="left" vertical="center" wrapText="1"/>
    </xf>
    <xf numFmtId="43" fontId="13" fillId="3" borderId="1" xfId="6" applyFont="1" applyFill="1" applyBorder="1" applyAlignment="1">
      <alignment horizontal="center" vertical="center"/>
    </xf>
    <xf numFmtId="43" fontId="7" fillId="3" borderId="1" xfId="6" applyFont="1" applyFill="1" applyBorder="1" applyAlignment="1">
      <alignment horizontal="center" vertical="center" wrapText="1"/>
    </xf>
    <xf numFmtId="165" fontId="7" fillId="0" borderId="1" xfId="0" applyNumberFormat="1" applyFont="1" applyBorder="1" applyAlignment="1">
      <alignment horizontal="right"/>
    </xf>
    <xf numFmtId="43" fontId="5" fillId="2" borderId="1" xfId="6" applyFont="1" applyFill="1" applyBorder="1" applyAlignment="1">
      <alignment horizontal="right" vertical="center"/>
    </xf>
    <xf numFmtId="43" fontId="13" fillId="3" borderId="1" xfId="6" applyFont="1" applyFill="1" applyBorder="1" applyAlignment="1">
      <alignment horizontal="right" vertical="center"/>
    </xf>
    <xf numFmtId="43" fontId="7" fillId="3" borderId="1" xfId="6" applyFont="1" applyFill="1" applyBorder="1" applyAlignment="1">
      <alignment horizontal="right" vertical="center"/>
    </xf>
    <xf numFmtId="165" fontId="7" fillId="0" borderId="1" xfId="0" applyNumberFormat="1" applyFont="1" applyBorder="1" applyAlignment="1">
      <alignment horizontal="center"/>
    </xf>
    <xf numFmtId="165" fontId="0" fillId="0" borderId="0" xfId="0" applyNumberFormat="1" applyAlignment="1">
      <alignment horizontal="right"/>
    </xf>
    <xf numFmtId="2" fontId="40" fillId="0" borderId="15" xfId="0" applyNumberFormat="1" applyFont="1" applyBorder="1" applyAlignment="1">
      <alignment horizontal="center" vertical="center"/>
    </xf>
    <xf numFmtId="0" fontId="40" fillId="0" borderId="0" xfId="0" applyFont="1"/>
    <xf numFmtId="2" fontId="21" fillId="0" borderId="13" xfId="1" applyNumberFormat="1" applyFont="1" applyFill="1" applyBorder="1" applyAlignment="1">
      <alignment horizontal="center" vertical="center"/>
    </xf>
    <xf numFmtId="0" fontId="40" fillId="3" borderId="0" xfId="0" applyFont="1" applyFill="1"/>
    <xf numFmtId="2" fontId="40" fillId="3" borderId="15" xfId="0" applyNumberFormat="1" applyFont="1" applyFill="1" applyBorder="1" applyAlignment="1">
      <alignment horizontal="center" vertical="center"/>
    </xf>
    <xf numFmtId="43" fontId="0" fillId="0" borderId="0" xfId="0" applyNumberFormat="1" applyAlignment="1">
      <alignment horizontal="center" vertical="center"/>
    </xf>
    <xf numFmtId="165" fontId="3" fillId="0" borderId="0" xfId="0" applyNumberFormat="1" applyFont="1" applyAlignment="1">
      <alignment horizontal="right"/>
    </xf>
    <xf numFmtId="165" fontId="7" fillId="0" borderId="1" xfId="1" applyNumberFormat="1" applyFont="1" applyBorder="1" applyAlignment="1">
      <alignment vertical="center" wrapText="1"/>
    </xf>
    <xf numFmtId="43" fontId="7" fillId="0" borderId="1" xfId="1" applyFont="1" applyBorder="1" applyAlignment="1">
      <alignment vertical="center" wrapText="1"/>
    </xf>
    <xf numFmtId="43" fontId="7" fillId="0" borderId="1" xfId="1" applyFont="1" applyBorder="1" applyAlignment="1">
      <alignment horizontal="center" vertical="center" wrapText="1"/>
    </xf>
    <xf numFmtId="41" fontId="7" fillId="0" borderId="1" xfId="2" applyFont="1" applyBorder="1" applyAlignment="1">
      <alignment vertical="center" wrapText="1"/>
    </xf>
    <xf numFmtId="43" fontId="7" fillId="0" borderId="1" xfId="1" applyFont="1" applyBorder="1" applyAlignment="1">
      <alignment horizontal="left" vertical="center" wrapText="1"/>
    </xf>
    <xf numFmtId="0" fontId="7" fillId="3" borderId="1" xfId="4" applyFont="1" applyFill="1" applyBorder="1" applyAlignment="1">
      <alignment vertical="center" wrapText="1"/>
    </xf>
    <xf numFmtId="0" fontId="7" fillId="3" borderId="1" xfId="4" applyFont="1" applyFill="1" applyBorder="1" applyAlignment="1">
      <alignment horizontal="center" vertical="center" wrapText="1"/>
    </xf>
    <xf numFmtId="43" fontId="7" fillId="3" borderId="1" xfId="7" applyFont="1" applyFill="1" applyBorder="1" applyAlignment="1">
      <alignment vertical="center" wrapText="1"/>
    </xf>
    <xf numFmtId="0" fontId="7" fillId="0" borderId="1" xfId="4" applyFont="1" applyBorder="1" applyAlignment="1">
      <alignment horizontal="center"/>
    </xf>
    <xf numFmtId="0" fontId="7" fillId="0" borderId="1" xfId="4" applyFont="1" applyBorder="1"/>
    <xf numFmtId="43" fontId="7" fillId="3" borderId="1" xfId="9" applyFont="1" applyFill="1" applyBorder="1" applyAlignment="1">
      <alignment vertical="center" wrapText="1"/>
    </xf>
    <xf numFmtId="43" fontId="7" fillId="3" borderId="1" xfId="9" applyFont="1" applyFill="1" applyBorder="1" applyAlignment="1">
      <alignment horizontal="center" vertical="center" wrapText="1"/>
    </xf>
    <xf numFmtId="43" fontId="7" fillId="3" borderId="1" xfId="9" applyFont="1" applyFill="1" applyBorder="1" applyAlignment="1">
      <alignment horizontal="right" vertical="center"/>
    </xf>
    <xf numFmtId="165" fontId="7" fillId="3" borderId="1" xfId="1" applyNumberFormat="1" applyFont="1" applyFill="1" applyBorder="1" applyAlignment="1">
      <alignment horizontal="right" vertical="center" wrapText="1"/>
    </xf>
    <xf numFmtId="0" fontId="39" fillId="0" borderId="0" xfId="0" applyFont="1"/>
    <xf numFmtId="0" fontId="7" fillId="0" borderId="17" xfId="0" applyFont="1" applyBorder="1" applyAlignment="1">
      <alignment horizontal="left" vertical="center" wrapText="1"/>
    </xf>
    <xf numFmtId="0" fontId="7" fillId="0" borderId="17" xfId="0" applyFont="1" applyBorder="1" applyAlignment="1">
      <alignment horizontal="center" vertical="center"/>
    </xf>
    <xf numFmtId="165" fontId="14" fillId="0" borderId="17" xfId="1" applyNumberFormat="1" applyFont="1" applyFill="1" applyBorder="1" applyAlignment="1">
      <alignment horizontal="center" vertical="center"/>
    </xf>
    <xf numFmtId="0" fontId="8" fillId="0" borderId="17" xfId="0" applyFont="1" applyBorder="1" applyAlignment="1">
      <alignment horizontal="left" vertical="center" wrapText="1"/>
    </xf>
    <xf numFmtId="0" fontId="8" fillId="0" borderId="17" xfId="0" applyFont="1" applyBorder="1" applyAlignment="1">
      <alignment horizontal="center" vertical="center"/>
    </xf>
    <xf numFmtId="165" fontId="15" fillId="0" borderId="17" xfId="1" applyNumberFormat="1" applyFont="1" applyFill="1" applyBorder="1" applyAlignment="1">
      <alignment horizontal="center" vertical="center"/>
    </xf>
    <xf numFmtId="0" fontId="35" fillId="0" borderId="0" xfId="0" applyFont="1" applyAlignment="1">
      <alignment vertical="center"/>
    </xf>
    <xf numFmtId="165" fontId="7" fillId="0" borderId="1" xfId="1" applyNumberFormat="1" applyFont="1" applyBorder="1" applyAlignment="1">
      <alignment wrapText="1"/>
    </xf>
    <xf numFmtId="165" fontId="7" fillId="3" borderId="1" xfId="4" applyNumberFormat="1" applyFont="1" applyFill="1" applyBorder="1" applyAlignment="1">
      <alignment horizontal="center" wrapText="1"/>
    </xf>
    <xf numFmtId="165" fontId="7" fillId="3" borderId="1" xfId="9" applyNumberFormat="1" applyFont="1" applyFill="1" applyBorder="1" applyAlignment="1">
      <alignment horizontal="center"/>
    </xf>
    <xf numFmtId="0" fontId="34" fillId="0" borderId="5" xfId="0" applyFont="1" applyBorder="1" applyAlignment="1">
      <alignment horizontal="center"/>
    </xf>
    <xf numFmtId="0" fontId="0" fillId="0" borderId="1" xfId="0" applyBorder="1"/>
    <xf numFmtId="0" fontId="0" fillId="3" borderId="1" xfId="0" applyFill="1" applyBorder="1"/>
    <xf numFmtId="0" fontId="32" fillId="0" borderId="0" xfId="0" applyFont="1" applyAlignment="1">
      <alignment horizontal="left"/>
    </xf>
    <xf numFmtId="0" fontId="32" fillId="0" borderId="0" xfId="0" applyFont="1" applyAlignment="1">
      <alignment horizontal="center"/>
    </xf>
    <xf numFmtId="165" fontId="32" fillId="0" borderId="0" xfId="0" applyNumberFormat="1" applyFont="1" applyAlignment="1">
      <alignment horizontal="right"/>
    </xf>
    <xf numFmtId="43" fontId="8" fillId="0" borderId="1" xfId="10" applyFont="1" applyFill="1" applyBorder="1" applyAlignment="1">
      <alignment vertical="center" wrapText="1"/>
    </xf>
    <xf numFmtId="43" fontId="7" fillId="0" borderId="1" xfId="10" applyFont="1" applyFill="1" applyBorder="1" applyAlignment="1">
      <alignment vertical="center" wrapText="1"/>
    </xf>
    <xf numFmtId="43" fontId="8" fillId="0" borderId="1" xfId="10" applyFont="1" applyFill="1" applyBorder="1" applyAlignment="1">
      <alignment horizontal="center" vertical="center" wrapText="1"/>
    </xf>
    <xf numFmtId="43" fontId="7" fillId="0" borderId="1" xfId="10" applyFont="1" applyFill="1" applyBorder="1" applyAlignment="1">
      <alignment horizontal="center" vertical="center" wrapText="1"/>
    </xf>
    <xf numFmtId="43" fontId="5" fillId="2" borderId="1" xfId="10" applyFont="1" applyFill="1" applyBorder="1" applyAlignment="1">
      <alignment vertical="center" wrapText="1"/>
    </xf>
    <xf numFmtId="0" fontId="5" fillId="0" borderId="0" xfId="0" applyFont="1"/>
    <xf numFmtId="43" fontId="31" fillId="0" borderId="8" xfId="0" applyNumberFormat="1" applyFont="1" applyBorder="1" applyAlignment="1">
      <alignment horizontal="center" vertical="center" wrapText="1"/>
    </xf>
    <xf numFmtId="43" fontId="17" fillId="0" borderId="11" xfId="0" applyNumberFormat="1" applyFont="1" applyBorder="1" applyAlignment="1">
      <alignment horizontal="center" vertical="center"/>
    </xf>
    <xf numFmtId="43" fontId="17" fillId="0" borderId="11" xfId="1" applyFont="1" applyFill="1" applyBorder="1" applyAlignment="1">
      <alignment horizontal="center" vertical="center" wrapText="1"/>
    </xf>
    <xf numFmtId="43" fontId="5" fillId="2" borderId="11" xfId="0" applyNumberFormat="1" applyFont="1" applyFill="1" applyBorder="1" applyAlignment="1">
      <alignment horizontal="center" vertical="center"/>
    </xf>
    <xf numFmtId="43" fontId="17" fillId="0" borderId="11" xfId="1" applyFont="1" applyFill="1" applyBorder="1" applyAlignment="1">
      <alignment horizontal="center" vertical="center"/>
    </xf>
    <xf numFmtId="43" fontId="5" fillId="2" borderId="1" xfId="10" applyFont="1" applyFill="1" applyBorder="1" applyAlignment="1">
      <alignment horizontal="center" vertical="center"/>
    </xf>
    <xf numFmtId="43" fontId="17" fillId="2" borderId="1" xfId="10" applyFont="1" applyFill="1" applyBorder="1" applyAlignment="1">
      <alignment horizontal="right" vertical="center"/>
    </xf>
    <xf numFmtId="43" fontId="7" fillId="0" borderId="1" xfId="10" applyFont="1" applyFill="1" applyBorder="1" applyAlignment="1">
      <alignment horizontal="right" vertical="center"/>
    </xf>
    <xf numFmtId="43" fontId="8" fillId="0" borderId="1" xfId="10" applyFont="1" applyFill="1" applyBorder="1" applyAlignment="1">
      <alignment horizontal="right" vertical="center"/>
    </xf>
    <xf numFmtId="0" fontId="32" fillId="0" borderId="0" xfId="0" applyFont="1" applyAlignment="1">
      <alignment horizontal="right"/>
    </xf>
    <xf numFmtId="43" fontId="5" fillId="2" borderId="1" xfId="10" applyFont="1" applyFill="1" applyBorder="1" applyAlignment="1">
      <alignment horizontal="right" vertical="center"/>
    </xf>
    <xf numFmtId="165" fontId="7" fillId="0" borderId="1" xfId="10" applyNumberFormat="1" applyFont="1" applyFill="1" applyBorder="1" applyAlignment="1">
      <alignment horizontal="right" vertical="center"/>
    </xf>
    <xf numFmtId="43" fontId="30" fillId="0" borderId="11" xfId="0" applyNumberFormat="1" applyFont="1" applyBorder="1" applyAlignment="1">
      <alignment horizontal="center" vertical="center"/>
    </xf>
    <xf numFmtId="43" fontId="5" fillId="2" borderId="11" xfId="10" applyFont="1" applyFill="1" applyBorder="1" applyAlignment="1">
      <alignment horizontal="center" vertical="center" wrapText="1"/>
    </xf>
    <xf numFmtId="43" fontId="17" fillId="0" borderId="11" xfId="10" applyFont="1" applyFill="1" applyBorder="1" applyAlignment="1">
      <alignment horizontal="center" vertical="center" wrapText="1"/>
    </xf>
    <xf numFmtId="43" fontId="21" fillId="0" borderId="11" xfId="10" applyFont="1" applyFill="1" applyBorder="1" applyAlignment="1">
      <alignment horizontal="center" vertical="center" wrapText="1"/>
    </xf>
    <xf numFmtId="43" fontId="19" fillId="0" borderId="11" xfId="0" applyNumberFormat="1" applyFont="1" applyBorder="1" applyAlignment="1">
      <alignment horizontal="center" vertical="center"/>
    </xf>
    <xf numFmtId="43" fontId="5" fillId="2" borderId="11" xfId="4" applyNumberFormat="1" applyFont="1" applyFill="1" applyBorder="1" applyAlignment="1">
      <alignment horizontal="center" vertical="center" wrapText="1"/>
    </xf>
    <xf numFmtId="43" fontId="17" fillId="3" borderId="11" xfId="4" applyNumberFormat="1" applyFont="1" applyFill="1" applyBorder="1" applyAlignment="1">
      <alignment horizontal="center" vertical="center" wrapText="1"/>
    </xf>
    <xf numFmtId="43" fontId="21" fillId="0" borderId="11" xfId="1" applyFont="1" applyFill="1" applyBorder="1" applyAlignment="1">
      <alignment horizontal="center" vertical="center" wrapText="1"/>
    </xf>
    <xf numFmtId="43" fontId="18" fillId="0" borderId="11" xfId="0" applyNumberFormat="1" applyFont="1" applyBorder="1" applyAlignment="1">
      <alignment horizontal="center" vertical="center"/>
    </xf>
    <xf numFmtId="43" fontId="33" fillId="0" borderId="11" xfId="0" applyNumberFormat="1" applyFont="1" applyBorder="1" applyAlignment="1">
      <alignment horizontal="center" vertical="center"/>
    </xf>
    <xf numFmtId="0" fontId="0" fillId="0" borderId="1" xfId="0" applyBorder="1" applyAlignment="1">
      <alignment horizontal="left" vertical="center"/>
    </xf>
    <xf numFmtId="43" fontId="38" fillId="3" borderId="11" xfId="3" applyNumberFormat="1" applyFont="1" applyFill="1" applyBorder="1" applyAlignment="1">
      <alignment horizontal="center" vertical="center"/>
    </xf>
    <xf numFmtId="43" fontId="5" fillId="2" borderId="11" xfId="6" applyFont="1" applyFill="1" applyBorder="1" applyAlignment="1">
      <alignment horizontal="center" vertical="center" wrapText="1"/>
    </xf>
    <xf numFmtId="43" fontId="19" fillId="3" borderId="11" xfId="6" applyFont="1" applyFill="1" applyBorder="1" applyAlignment="1">
      <alignment horizontal="center" vertical="center" wrapText="1"/>
    </xf>
    <xf numFmtId="43" fontId="19" fillId="0" borderId="11" xfId="1" applyFont="1" applyFill="1" applyBorder="1" applyAlignment="1">
      <alignment horizontal="center" vertical="center" wrapText="1"/>
    </xf>
    <xf numFmtId="43" fontId="5" fillId="0" borderId="11" xfId="1" applyFont="1" applyFill="1" applyBorder="1" applyAlignment="1">
      <alignment horizontal="center" vertical="center" wrapText="1"/>
    </xf>
    <xf numFmtId="43" fontId="17" fillId="3" borderId="11" xfId="6" applyFont="1" applyFill="1" applyBorder="1" applyAlignment="1">
      <alignment horizontal="center" vertical="center" wrapText="1"/>
    </xf>
    <xf numFmtId="43" fontId="36" fillId="3" borderId="11" xfId="3" applyNumberFormat="1" applyFont="1" applyFill="1" applyBorder="1" applyAlignment="1">
      <alignment horizontal="center" vertical="center"/>
    </xf>
    <xf numFmtId="43" fontId="0" fillId="0" borderId="11" xfId="0" applyNumberFormat="1" applyBorder="1" applyAlignment="1">
      <alignment horizontal="center" vertic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right"/>
    </xf>
    <xf numFmtId="43" fontId="0" fillId="0" borderId="13" xfId="0" applyNumberFormat="1" applyBorder="1" applyAlignment="1">
      <alignment horizontal="center" vertical="center"/>
    </xf>
    <xf numFmtId="43" fontId="8" fillId="0" borderId="14" xfId="10" applyFont="1" applyFill="1" applyBorder="1" applyAlignment="1">
      <alignment vertical="center" wrapText="1"/>
    </xf>
    <xf numFmtId="43" fontId="8" fillId="0" borderId="14" xfId="10" applyFont="1" applyFill="1" applyBorder="1" applyAlignment="1">
      <alignment horizontal="center" vertical="center" wrapText="1"/>
    </xf>
    <xf numFmtId="43" fontId="8" fillId="0" borderId="14" xfId="10" applyFont="1" applyFill="1" applyBorder="1" applyAlignment="1">
      <alignment horizontal="right" vertical="center"/>
    </xf>
    <xf numFmtId="0" fontId="16" fillId="0" borderId="0" xfId="0" applyFont="1"/>
    <xf numFmtId="0" fontId="0" fillId="3" borderId="4" xfId="0" applyFill="1" applyBorder="1"/>
    <xf numFmtId="0" fontId="16" fillId="0" borderId="1" xfId="0" applyFont="1" applyBorder="1"/>
    <xf numFmtId="165" fontId="16" fillId="0" borderId="1" xfId="0" applyNumberFormat="1" applyFont="1" applyBorder="1"/>
    <xf numFmtId="43" fontId="21" fillId="0" borderId="1" xfId="1" applyFont="1" applyFill="1" applyBorder="1" applyAlignment="1">
      <alignment horizontal="left" vertical="center" wrapText="1"/>
    </xf>
    <xf numFmtId="0" fontId="30" fillId="0" borderId="0" xfId="0" applyFont="1" applyAlignment="1">
      <alignment horizontal="left"/>
    </xf>
    <xf numFmtId="165" fontId="13" fillId="2" borderId="0" xfId="1" applyNumberFormat="1" applyFont="1" applyFill="1" applyBorder="1" applyAlignment="1">
      <alignment horizontal="right" vertical="center"/>
    </xf>
    <xf numFmtId="165" fontId="7" fillId="0" borderId="0" xfId="1" applyNumberFormat="1" applyFont="1" applyFill="1" applyBorder="1" applyAlignment="1">
      <alignment horizontal="right" vertical="center"/>
    </xf>
    <xf numFmtId="165" fontId="8" fillId="0" borderId="0" xfId="1" applyNumberFormat="1" applyFont="1" applyBorder="1" applyAlignment="1">
      <alignment horizontal="right" vertical="center"/>
    </xf>
    <xf numFmtId="165" fontId="7" fillId="0" borderId="0" xfId="1" applyNumberFormat="1" applyFont="1" applyBorder="1" applyAlignment="1">
      <alignment horizontal="right" vertical="center"/>
    </xf>
    <xf numFmtId="165" fontId="5" fillId="2" borderId="0" xfId="1" applyNumberFormat="1" applyFont="1" applyFill="1" applyBorder="1" applyAlignment="1">
      <alignment horizontal="right" vertical="center"/>
    </xf>
    <xf numFmtId="165" fontId="21" fillId="3" borderId="0" xfId="1" applyNumberFormat="1" applyFont="1" applyFill="1" applyBorder="1" applyAlignment="1">
      <alignment horizontal="left" vertical="center" wrapText="1"/>
    </xf>
    <xf numFmtId="165" fontId="7" fillId="3" borderId="0" xfId="1" applyNumberFormat="1" applyFont="1" applyFill="1" applyBorder="1" applyAlignment="1">
      <alignment horizontal="right" vertical="center"/>
    </xf>
    <xf numFmtId="165" fontId="7" fillId="0" borderId="0" xfId="1" applyNumberFormat="1" applyFont="1" applyFill="1" applyBorder="1" applyAlignment="1">
      <alignment horizontal="right" vertical="center" wrapText="1"/>
    </xf>
    <xf numFmtId="165" fontId="13" fillId="2" borderId="0" xfId="1" applyNumberFormat="1" applyFont="1" applyFill="1" applyBorder="1" applyAlignment="1">
      <alignment horizontal="right" vertical="center" wrapText="1"/>
    </xf>
    <xf numFmtId="165" fontId="21" fillId="0" borderId="0" xfId="1" applyNumberFormat="1" applyFont="1" applyFill="1" applyBorder="1" applyAlignment="1">
      <alignment horizontal="left" vertical="center" wrapText="1"/>
    </xf>
    <xf numFmtId="165" fontId="7" fillId="3" borderId="0" xfId="1" applyNumberFormat="1" applyFont="1" applyFill="1" applyBorder="1" applyAlignment="1">
      <alignment horizontal="right" vertical="center" wrapText="1"/>
    </xf>
    <xf numFmtId="165" fontId="8" fillId="0" borderId="0" xfId="1" applyNumberFormat="1" applyFont="1" applyFill="1" applyBorder="1" applyAlignment="1">
      <alignment horizontal="right" vertical="center"/>
    </xf>
    <xf numFmtId="165" fontId="16" fillId="3"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wrapText="1"/>
    </xf>
    <xf numFmtId="165" fontId="8" fillId="0" borderId="0" xfId="1" applyNumberFormat="1" applyFont="1" applyFill="1" applyBorder="1" applyAlignment="1">
      <alignment horizontal="right" vertical="center" wrapText="1"/>
    </xf>
    <xf numFmtId="165" fontId="21" fillId="0" borderId="0" xfId="1" applyNumberFormat="1" applyFont="1" applyFill="1" applyBorder="1" applyAlignment="1">
      <alignment horizontal="right" vertical="center" wrapText="1"/>
    </xf>
    <xf numFmtId="165" fontId="13" fillId="0" borderId="0" xfId="1" applyNumberFormat="1" applyFont="1" applyFill="1" applyBorder="1" applyAlignment="1">
      <alignment horizontal="right" vertical="center" wrapText="1"/>
    </xf>
    <xf numFmtId="165" fontId="8" fillId="3" borderId="0" xfId="1" applyNumberFormat="1" applyFont="1" applyFill="1" applyBorder="1" applyAlignment="1">
      <alignment horizontal="right" vertical="center" wrapText="1"/>
    </xf>
    <xf numFmtId="165" fontId="20" fillId="3" borderId="0" xfId="1" applyNumberFormat="1" applyFont="1" applyFill="1" applyBorder="1" applyAlignment="1">
      <alignment horizontal="right" vertical="center"/>
    </xf>
    <xf numFmtId="165" fontId="5" fillId="2" borderId="0" xfId="1" applyNumberFormat="1" applyFont="1" applyFill="1" applyBorder="1" applyAlignment="1">
      <alignment vertical="center"/>
    </xf>
    <xf numFmtId="165" fontId="7" fillId="3" borderId="0" xfId="1" applyNumberFormat="1" applyFont="1" applyFill="1" applyBorder="1" applyAlignment="1">
      <alignment vertical="center"/>
    </xf>
    <xf numFmtId="165" fontId="7" fillId="0" borderId="0" xfId="1" applyNumberFormat="1" applyFont="1" applyFill="1" applyBorder="1" applyAlignment="1">
      <alignment vertical="top"/>
    </xf>
    <xf numFmtId="165" fontId="7" fillId="0" borderId="0" xfId="1" applyNumberFormat="1" applyFont="1" applyFill="1" applyBorder="1" applyAlignment="1">
      <alignment vertical="center"/>
    </xf>
    <xf numFmtId="165" fontId="8" fillId="0" borderId="0" xfId="1" applyNumberFormat="1" applyFont="1" applyFill="1" applyBorder="1" applyAlignment="1">
      <alignment vertical="center"/>
    </xf>
    <xf numFmtId="165" fontId="30" fillId="0" borderId="0" xfId="0" applyNumberFormat="1" applyFont="1" applyAlignment="1">
      <alignment vertical="center"/>
    </xf>
    <xf numFmtId="165" fontId="7" fillId="3" borderId="0" xfId="1" applyNumberFormat="1" applyFont="1" applyFill="1" applyBorder="1" applyAlignment="1">
      <alignment horizontal="right" vertical="top" wrapText="1"/>
    </xf>
    <xf numFmtId="165" fontId="8" fillId="3" borderId="0" xfId="1" applyNumberFormat="1" applyFont="1" applyFill="1" applyBorder="1" applyAlignment="1">
      <alignment horizontal="right" vertical="top" wrapText="1"/>
    </xf>
    <xf numFmtId="165" fontId="31" fillId="0" borderId="0" xfId="1" applyNumberFormat="1" applyFont="1" applyFill="1" applyBorder="1" applyAlignment="1">
      <alignment horizontal="center" vertical="center"/>
    </xf>
    <xf numFmtId="165" fontId="7" fillId="0" borderId="3" xfId="1" applyNumberFormat="1" applyFont="1" applyFill="1" applyBorder="1" applyAlignment="1">
      <alignment horizontal="right" vertical="center" wrapText="1"/>
    </xf>
    <xf numFmtId="165" fontId="23" fillId="0" borderId="0" xfId="1" applyNumberFormat="1" applyFont="1" applyFill="1" applyBorder="1" applyAlignment="1">
      <alignment horizontal="right" vertical="center" wrapText="1"/>
    </xf>
    <xf numFmtId="165" fontId="43" fillId="2" borderId="0" xfId="1" applyNumberFormat="1" applyFont="1" applyFill="1"/>
    <xf numFmtId="165" fontId="13" fillId="2" borderId="0" xfId="1" applyNumberFormat="1" applyFont="1" applyFill="1" applyBorder="1" applyAlignment="1">
      <alignment horizontal="right" vertical="top" wrapText="1"/>
    </xf>
    <xf numFmtId="165" fontId="0" fillId="2" borderId="0" xfId="1" applyNumberFormat="1" applyFont="1" applyFill="1"/>
    <xf numFmtId="165" fontId="0" fillId="0" borderId="0" xfId="1" applyNumberFormat="1" applyFont="1"/>
    <xf numFmtId="165" fontId="22" fillId="3" borderId="0" xfId="1" applyNumberFormat="1" applyFont="1" applyFill="1"/>
    <xf numFmtId="165" fontId="21" fillId="3" borderId="0" xfId="1" applyNumberFormat="1" applyFont="1" applyFill="1" applyAlignment="1">
      <alignment horizontal="left" vertical="center" wrapText="1"/>
    </xf>
    <xf numFmtId="165" fontId="2" fillId="2" borderId="0" xfId="1" applyNumberFormat="1" applyFont="1" applyFill="1"/>
    <xf numFmtId="165" fontId="2" fillId="0" borderId="0" xfId="1" applyNumberFormat="1" applyFont="1"/>
    <xf numFmtId="165" fontId="24" fillId="3" borderId="0" xfId="1" applyNumberFormat="1" applyFont="1" applyFill="1"/>
    <xf numFmtId="165" fontId="24" fillId="0" borderId="0" xfId="1" applyNumberFormat="1" applyFont="1"/>
    <xf numFmtId="165" fontId="3" fillId="0" borderId="0" xfId="1" applyNumberFormat="1" applyFont="1"/>
    <xf numFmtId="165" fontId="42" fillId="2" borderId="0" xfId="1" applyNumberFormat="1" applyFont="1" applyFill="1"/>
    <xf numFmtId="165" fontId="33" fillId="0" borderId="0" xfId="1" applyNumberFormat="1" applyFont="1"/>
    <xf numFmtId="165" fontId="0" fillId="3" borderId="0" xfId="1" applyNumberFormat="1" applyFont="1" applyFill="1"/>
    <xf numFmtId="165" fontId="21" fillId="0" borderId="0" xfId="1" applyNumberFormat="1" applyFont="1" applyAlignment="1">
      <alignment horizontal="left" vertical="center" wrapText="1"/>
    </xf>
    <xf numFmtId="165" fontId="10" fillId="0" borderId="0" xfId="1" applyNumberFormat="1" applyFont="1"/>
    <xf numFmtId="165" fontId="30" fillId="0" borderId="0" xfId="1" applyNumberFormat="1" applyFont="1"/>
    <xf numFmtId="165" fontId="29" fillId="0" borderId="0" xfId="1" applyNumberFormat="1" applyFont="1"/>
    <xf numFmtId="165" fontId="37" fillId="2" borderId="0" xfId="1" applyNumberFormat="1" applyFont="1" applyFill="1"/>
    <xf numFmtId="165" fontId="0" fillId="0" borderId="0" xfId="1" applyNumberFormat="1" applyFont="1" applyAlignment="1">
      <alignment horizontal="right" vertical="center"/>
    </xf>
    <xf numFmtId="165" fontId="5" fillId="2" borderId="0" xfId="1" applyNumberFormat="1" applyFont="1" applyFill="1" applyAlignment="1">
      <alignment horizontal="right" vertical="center" wrapText="1"/>
    </xf>
    <xf numFmtId="165" fontId="40" fillId="0" borderId="0" xfId="1" applyNumberFormat="1" applyFont="1" applyAlignment="1">
      <alignment horizontal="right" vertical="center"/>
    </xf>
    <xf numFmtId="165" fontId="22" fillId="0" borderId="0" xfId="1" applyNumberFormat="1" applyFont="1"/>
    <xf numFmtId="165" fontId="21" fillId="0" borderId="0" xfId="1" applyNumberFormat="1" applyFont="1" applyBorder="1" applyAlignment="1">
      <alignment horizontal="left" vertical="center" wrapText="1"/>
    </xf>
    <xf numFmtId="165" fontId="0" fillId="0" borderId="0" xfId="1" applyNumberFormat="1" applyFont="1" applyBorder="1" applyAlignment="1">
      <alignment horizontal="right" vertical="center"/>
    </xf>
    <xf numFmtId="165" fontId="7" fillId="0" borderId="0" xfId="1" applyNumberFormat="1" applyFont="1" applyBorder="1" applyAlignment="1">
      <alignment horizontal="right" vertical="center" wrapText="1"/>
    </xf>
    <xf numFmtId="165" fontId="40" fillId="0" borderId="0" xfId="1" applyNumberFormat="1" applyFont="1" applyBorder="1" applyAlignment="1">
      <alignment horizontal="right" vertical="center"/>
    </xf>
    <xf numFmtId="165" fontId="5" fillId="2" borderId="0" xfId="1" applyNumberFormat="1" applyFont="1" applyFill="1" applyBorder="1" applyAlignment="1">
      <alignment horizontal="left" vertical="center" wrapText="1"/>
    </xf>
    <xf numFmtId="165" fontId="40" fillId="3" borderId="0" xfId="1" applyNumberFormat="1" applyFont="1" applyFill="1" applyBorder="1" applyAlignment="1">
      <alignment horizontal="right" vertical="center"/>
    </xf>
    <xf numFmtId="165" fontId="19" fillId="0" borderId="0" xfId="1" applyNumberFormat="1" applyFont="1"/>
    <xf numFmtId="165" fontId="12" fillId="0" borderId="0" xfId="1" applyNumberFormat="1" applyFont="1"/>
    <xf numFmtId="165" fontId="11" fillId="0" borderId="0" xfId="1" applyNumberFormat="1" applyFont="1"/>
    <xf numFmtId="165" fontId="18" fillId="0" borderId="0" xfId="1" applyNumberFormat="1" applyFont="1"/>
    <xf numFmtId="165" fontId="30" fillId="3" borderId="0" xfId="1" applyNumberFormat="1" applyFont="1" applyFill="1" applyBorder="1" applyAlignment="1">
      <alignment vertical="center" wrapText="1"/>
    </xf>
    <xf numFmtId="165" fontId="34" fillId="0" borderId="0" xfId="1" applyNumberFormat="1" applyFont="1" applyBorder="1" applyAlignment="1">
      <alignment horizontal="center" vertical="center"/>
    </xf>
    <xf numFmtId="165" fontId="13" fillId="3" borderId="0" xfId="1" applyNumberFormat="1" applyFont="1" applyFill="1" applyBorder="1" applyAlignment="1">
      <alignment horizontal="right" vertical="center"/>
    </xf>
    <xf numFmtId="165" fontId="7" fillId="0" borderId="4" xfId="1" applyNumberFormat="1" applyFont="1" applyFill="1" applyBorder="1" applyAlignment="1">
      <alignment vertical="center"/>
    </xf>
    <xf numFmtId="165" fontId="0" fillId="0" borderId="0" xfId="1" applyNumberFormat="1" applyFont="1" applyBorder="1" applyAlignment="1">
      <alignment horizontal="right"/>
    </xf>
    <xf numFmtId="165" fontId="30" fillId="0" borderId="0" xfId="1" applyNumberFormat="1" applyFont="1" applyBorder="1" applyAlignment="1">
      <alignment horizontal="right"/>
    </xf>
    <xf numFmtId="165" fontId="5" fillId="2" borderId="0" xfId="1" applyNumberFormat="1" applyFont="1" applyFill="1"/>
    <xf numFmtId="165" fontId="30" fillId="0" borderId="0" xfId="1" applyNumberFormat="1" applyFont="1" applyAlignment="1">
      <alignment horizontal="right" vertical="center"/>
    </xf>
    <xf numFmtId="165" fontId="30" fillId="0" borderId="0" xfId="1" applyNumberFormat="1" applyFont="1" applyBorder="1" applyAlignment="1">
      <alignment horizontal="right" vertical="center"/>
    </xf>
    <xf numFmtId="165" fontId="30" fillId="3" borderId="0" xfId="1" applyNumberFormat="1" applyFont="1" applyFill="1" applyBorder="1" applyAlignment="1">
      <alignment horizontal="right" vertical="center"/>
    </xf>
    <xf numFmtId="165" fontId="30" fillId="3" borderId="0" xfId="1" applyNumberFormat="1" applyFont="1" applyFill="1"/>
    <xf numFmtId="165" fontId="18" fillId="0" borderId="0" xfId="0" applyNumberFormat="1" applyFont="1" applyAlignment="1">
      <alignment horizontal="right" vertical="center"/>
    </xf>
    <xf numFmtId="165" fontId="30" fillId="0" borderId="0" xfId="0" applyNumberFormat="1" applyFont="1"/>
    <xf numFmtId="165" fontId="33" fillId="0" borderId="0" xfId="0" applyNumberFormat="1" applyFont="1" applyAlignment="1">
      <alignment horizontal="right"/>
    </xf>
    <xf numFmtId="165" fontId="33" fillId="0" borderId="0" xfId="0" applyNumberFormat="1" applyFont="1"/>
    <xf numFmtId="0" fontId="3" fillId="3" borderId="0" xfId="0" applyFont="1" applyFill="1"/>
    <xf numFmtId="0" fontId="44" fillId="4" borderId="6" xfId="0" applyFont="1" applyFill="1" applyBorder="1" applyAlignment="1">
      <alignment horizontal="center"/>
    </xf>
    <xf numFmtId="165" fontId="28" fillId="0" borderId="18" xfId="0" applyNumberFormat="1" applyFont="1" applyBorder="1" applyAlignment="1">
      <alignment horizontal="right" vertical="center" wrapText="1"/>
    </xf>
    <xf numFmtId="165" fontId="28" fillId="0" borderId="9" xfId="0" applyNumberFormat="1" applyFont="1" applyBorder="1" applyAlignment="1">
      <alignment horizontal="right" vertical="center" wrapText="1"/>
    </xf>
    <xf numFmtId="165" fontId="28" fillId="0" borderId="10" xfId="0" applyNumberFormat="1" applyFont="1" applyBorder="1" applyAlignment="1">
      <alignment horizontal="right" vertical="center" wrapText="1"/>
    </xf>
    <xf numFmtId="0" fontId="0" fillId="0" borderId="6" xfId="0" applyBorder="1"/>
    <xf numFmtId="165" fontId="0" fillId="0" borderId="6" xfId="1" applyNumberFormat="1" applyFont="1" applyBorder="1"/>
    <xf numFmtId="165" fontId="0" fillId="6" borderId="6" xfId="1" applyNumberFormat="1" applyFont="1" applyFill="1" applyBorder="1"/>
    <xf numFmtId="165" fontId="3" fillId="0" borderId="6" xfId="1" applyNumberFormat="1" applyFont="1" applyBorder="1"/>
    <xf numFmtId="165" fontId="3" fillId="6" borderId="6" xfId="1" applyNumberFormat="1" applyFont="1" applyFill="1" applyBorder="1"/>
    <xf numFmtId="165" fontId="28" fillId="0" borderId="18" xfId="1" applyNumberFormat="1" applyFont="1" applyBorder="1" applyAlignment="1">
      <alignment horizontal="right" vertical="center" wrapText="1"/>
    </xf>
    <xf numFmtId="165" fontId="28" fillId="0" borderId="9" xfId="1" applyNumberFormat="1" applyFont="1" applyBorder="1" applyAlignment="1">
      <alignment horizontal="right" vertical="center" wrapText="1"/>
    </xf>
    <xf numFmtId="165" fontId="28" fillId="0" borderId="10" xfId="1" applyNumberFormat="1" applyFont="1" applyBorder="1" applyAlignment="1">
      <alignment horizontal="right" vertical="center" wrapText="1"/>
    </xf>
    <xf numFmtId="165" fontId="30" fillId="0" borderId="0" xfId="1" applyNumberFormat="1" applyFont="1" applyAlignment="1">
      <alignment horizontal="left"/>
    </xf>
    <xf numFmtId="165" fontId="3" fillId="7" borderId="0" xfId="1" applyNumberFormat="1" applyFont="1" applyFill="1"/>
    <xf numFmtId="165" fontId="3" fillId="3" borderId="0" xfId="1" applyNumberFormat="1" applyFont="1" applyFill="1"/>
    <xf numFmtId="165" fontId="0" fillId="7" borderId="0" xfId="1" applyNumberFormat="1" applyFont="1" applyFill="1"/>
    <xf numFmtId="165" fontId="33" fillId="7" borderId="0" xfId="1" applyNumberFormat="1" applyFont="1" applyFill="1"/>
    <xf numFmtId="165" fontId="7" fillId="0" borderId="0" xfId="1" applyNumberFormat="1" applyFont="1" applyAlignment="1">
      <alignment horizontal="right" vertical="center" wrapText="1"/>
    </xf>
    <xf numFmtId="165" fontId="35" fillId="2" borderId="0" xfId="1" applyNumberFormat="1" applyFont="1" applyFill="1" applyAlignment="1">
      <alignment vertical="center"/>
    </xf>
    <xf numFmtId="165" fontId="1" fillId="0" borderId="0" xfId="1" applyNumberFormat="1" applyFont="1"/>
    <xf numFmtId="165" fontId="0" fillId="3" borderId="6" xfId="1" applyNumberFormat="1" applyFont="1" applyFill="1" applyBorder="1"/>
    <xf numFmtId="0" fontId="21" fillId="3" borderId="1" xfId="0" applyFont="1" applyFill="1" applyBorder="1" applyAlignment="1">
      <alignment horizontal="left" vertical="center" wrapText="1"/>
    </xf>
    <xf numFmtId="43" fontId="21" fillId="3" borderId="1" xfId="1" applyFont="1" applyFill="1" applyBorder="1" applyAlignment="1">
      <alignment horizontal="left" vertical="center" wrapText="1"/>
    </xf>
    <xf numFmtId="0" fontId="44" fillId="4" borderId="19" xfId="0" applyFont="1" applyFill="1" applyBorder="1" applyAlignment="1">
      <alignment horizontal="center"/>
    </xf>
    <xf numFmtId="0" fontId="44" fillId="4" borderId="20" xfId="0" applyFont="1" applyFill="1" applyBorder="1" applyAlignment="1">
      <alignment horizontal="center"/>
    </xf>
    <xf numFmtId="0" fontId="21" fillId="0" borderId="1" xfId="0" applyFont="1" applyBorder="1" applyAlignment="1">
      <alignment horizontal="left" vertical="center" wrapText="1"/>
    </xf>
    <xf numFmtId="0" fontId="40" fillId="0" borderId="16" xfId="0" applyFont="1" applyBorder="1" applyAlignment="1">
      <alignment horizontal="left" vertical="center"/>
    </xf>
    <xf numFmtId="0" fontId="30" fillId="0" borderId="1" xfId="0" applyFont="1" applyBorder="1" applyAlignment="1">
      <alignment horizontal="left"/>
    </xf>
    <xf numFmtId="165" fontId="21" fillId="3" borderId="1" xfId="1" applyNumberFormat="1" applyFont="1" applyFill="1" applyBorder="1" applyAlignment="1">
      <alignment horizontal="left" vertical="center" wrapText="1"/>
    </xf>
    <xf numFmtId="43" fontId="21" fillId="0" borderId="1" xfId="1" applyFont="1" applyFill="1" applyBorder="1" applyAlignment="1">
      <alignment horizontal="left" vertical="center" wrapText="1"/>
    </xf>
    <xf numFmtId="165" fontId="21" fillId="0" borderId="1" xfId="1" applyNumberFormat="1" applyFont="1" applyFill="1" applyBorder="1" applyAlignment="1">
      <alignment horizontal="left" vertical="center" wrapText="1"/>
    </xf>
    <xf numFmtId="0" fontId="44" fillId="4" borderId="6" xfId="0" applyFont="1" applyFill="1" applyBorder="1" applyAlignment="1">
      <alignment horizontal="center"/>
    </xf>
    <xf numFmtId="0" fontId="40" fillId="3" borderId="16" xfId="0" applyFont="1" applyFill="1" applyBorder="1" applyAlignment="1">
      <alignment horizontal="left" vertical="center"/>
    </xf>
    <xf numFmtId="165" fontId="44" fillId="4" borderId="6" xfId="1" applyNumberFormat="1" applyFont="1" applyFill="1" applyBorder="1" applyAlignment="1">
      <alignment horizontal="center"/>
    </xf>
    <xf numFmtId="165" fontId="44" fillId="4" borderId="19" xfId="1" applyNumberFormat="1" applyFont="1" applyFill="1" applyBorder="1" applyAlignment="1">
      <alignment horizontal="center"/>
    </xf>
    <xf numFmtId="165" fontId="44" fillId="4" borderId="20" xfId="1" applyNumberFormat="1" applyFont="1" applyFill="1" applyBorder="1" applyAlignment="1">
      <alignment horizont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0" borderId="2" xfId="0" applyFont="1" applyBorder="1" applyAlignment="1">
      <alignment horizontal="left"/>
    </xf>
    <xf numFmtId="0" fontId="30" fillId="0" borderId="3" xfId="0" applyFont="1" applyBorder="1" applyAlignment="1">
      <alignment horizontal="left"/>
    </xf>
    <xf numFmtId="0" fontId="34" fillId="0" borderId="1" xfId="0" applyFont="1" applyBorder="1" applyAlignment="1">
      <alignment horizontal="center" vertical="center"/>
    </xf>
    <xf numFmtId="165" fontId="31" fillId="0" borderId="1" xfId="1" applyNumberFormat="1" applyFont="1" applyFill="1" applyBorder="1" applyAlignment="1">
      <alignment horizontal="center" vertical="center"/>
    </xf>
    <xf numFmtId="0" fontId="39" fillId="0" borderId="5" xfId="0" applyFont="1" applyBorder="1" applyAlignment="1">
      <alignment horizontal="center"/>
    </xf>
    <xf numFmtId="0" fontId="3" fillId="5" borderId="6" xfId="0" applyFont="1" applyFill="1" applyBorder="1" applyAlignment="1">
      <alignment horizontal="center"/>
    </xf>
    <xf numFmtId="0" fontId="3" fillId="4" borderId="6" xfId="0" applyFont="1" applyFill="1" applyBorder="1"/>
    <xf numFmtId="0" fontId="3" fillId="4" borderId="6" xfId="0" applyFont="1" applyFill="1" applyBorder="1" applyAlignment="1">
      <alignment horizontal="center"/>
    </xf>
    <xf numFmtId="0" fontId="3" fillId="4" borderId="6" xfId="0" applyFont="1" applyFill="1" applyBorder="1" applyAlignment="1">
      <alignment horizontal="center" wrapText="1"/>
    </xf>
    <xf numFmtId="0" fontId="3" fillId="4" borderId="6" xfId="0" applyFont="1" applyFill="1" applyBorder="1" applyAlignment="1">
      <alignment wrapText="1"/>
    </xf>
    <xf numFmtId="2" fontId="0" fillId="0" borderId="0" xfId="0" applyNumberFormat="1"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4" borderId="19" xfId="0" applyFont="1" applyFill="1" applyBorder="1" applyAlignment="1">
      <alignment horizontal="center"/>
    </xf>
    <xf numFmtId="0" fontId="0" fillId="4" borderId="20" xfId="0" applyFont="1" applyFill="1" applyBorder="1" applyAlignment="1">
      <alignment horizontal="center"/>
    </xf>
    <xf numFmtId="0" fontId="0" fillId="0" borderId="0" xfId="0" applyFont="1"/>
    <xf numFmtId="2" fontId="28" fillId="0" borderId="8" xfId="0" applyNumberFormat="1" applyFont="1" applyBorder="1" applyAlignment="1">
      <alignment horizontal="center" vertical="center" wrapText="1"/>
    </xf>
    <xf numFmtId="0" fontId="28" fillId="0" borderId="9" xfId="0" applyFont="1" applyBorder="1" applyAlignment="1">
      <alignment horizontal="center" vertical="center" wrapText="1"/>
    </xf>
    <xf numFmtId="2" fontId="29" fillId="0" borderId="11" xfId="0" applyNumberFormat="1" applyFont="1" applyBorder="1" applyAlignment="1">
      <alignment horizontal="center" vertical="center"/>
    </xf>
    <xf numFmtId="0" fontId="29" fillId="0" borderId="1" xfId="0" applyFont="1" applyBorder="1" applyAlignment="1">
      <alignment horizontal="left"/>
    </xf>
    <xf numFmtId="0" fontId="29" fillId="0" borderId="0" xfId="0" applyFont="1" applyAlignment="1">
      <alignment horizontal="left"/>
    </xf>
    <xf numFmtId="165" fontId="26" fillId="2" borderId="1" xfId="1" applyNumberFormat="1" applyFont="1" applyFill="1" applyBorder="1" applyAlignment="1">
      <alignment horizontal="left" vertical="center" wrapText="1"/>
    </xf>
    <xf numFmtId="165" fontId="26" fillId="2" borderId="1" xfId="1" applyNumberFormat="1" applyFont="1" applyFill="1" applyBorder="1" applyAlignment="1">
      <alignment horizontal="center" vertical="center"/>
    </xf>
    <xf numFmtId="43" fontId="26" fillId="2" borderId="1" xfId="1" applyFont="1" applyFill="1" applyBorder="1" applyAlignment="1">
      <alignment horizontal="right" vertical="center"/>
    </xf>
    <xf numFmtId="165" fontId="26" fillId="2" borderId="1" xfId="1" applyNumberFormat="1" applyFont="1" applyFill="1" applyBorder="1" applyAlignment="1">
      <alignment horizontal="right" vertical="center"/>
    </xf>
    <xf numFmtId="165" fontId="26" fillId="2" borderId="0" xfId="1" applyNumberFormat="1" applyFont="1" applyFill="1" applyBorder="1" applyAlignment="1">
      <alignment horizontal="right" vertical="center"/>
    </xf>
    <xf numFmtId="165" fontId="28" fillId="0" borderId="1" xfId="1" applyNumberFormat="1" applyFont="1" applyFill="1" applyBorder="1" applyAlignment="1">
      <alignment horizontal="left" vertical="center" wrapText="1"/>
    </xf>
    <xf numFmtId="165" fontId="27" fillId="0" borderId="1" xfId="1" applyNumberFormat="1" applyFont="1" applyFill="1" applyBorder="1" applyAlignment="1">
      <alignment horizontal="center" vertical="center"/>
    </xf>
    <xf numFmtId="43" fontId="45" fillId="0" borderId="1" xfId="1" applyFont="1" applyFill="1" applyBorder="1" applyAlignment="1">
      <alignment horizontal="right" vertical="center"/>
    </xf>
    <xf numFmtId="165" fontId="27" fillId="0" borderId="1" xfId="1" applyNumberFormat="1" applyFont="1" applyFill="1" applyBorder="1" applyAlignment="1">
      <alignment horizontal="right" vertical="center"/>
    </xf>
    <xf numFmtId="165" fontId="27" fillId="0" borderId="0" xfId="1" applyNumberFormat="1" applyFont="1" applyFill="1" applyBorder="1" applyAlignment="1">
      <alignment horizontal="right" vertical="center"/>
    </xf>
    <xf numFmtId="165" fontId="27" fillId="0" borderId="1" xfId="1" applyNumberFormat="1" applyFont="1" applyFill="1" applyBorder="1" applyAlignment="1">
      <alignment horizontal="left" vertical="center" wrapText="1"/>
    </xf>
    <xf numFmtId="43" fontId="27" fillId="0" borderId="1" xfId="1" applyFont="1" applyFill="1" applyBorder="1" applyAlignment="1">
      <alignment horizontal="right" vertical="center"/>
    </xf>
    <xf numFmtId="0" fontId="28" fillId="0" borderId="1" xfId="0" applyFont="1" applyBorder="1" applyAlignment="1">
      <alignment horizontal="left" vertical="center" wrapText="1"/>
    </xf>
    <xf numFmtId="0" fontId="28" fillId="0" borderId="1" xfId="0" applyFont="1" applyBorder="1" applyAlignment="1">
      <alignment horizontal="center" vertical="center"/>
    </xf>
    <xf numFmtId="43" fontId="28" fillId="0" borderId="1" xfId="0" applyNumberFormat="1" applyFont="1" applyBorder="1" applyAlignment="1">
      <alignment horizontal="right" vertical="center"/>
    </xf>
    <xf numFmtId="165" fontId="28" fillId="0" borderId="1" xfId="1" applyNumberFormat="1" applyFont="1" applyBorder="1" applyAlignment="1">
      <alignment horizontal="right" vertical="center"/>
    </xf>
    <xf numFmtId="165" fontId="27" fillId="2" borderId="0" xfId="1" applyNumberFormat="1" applyFont="1" applyFill="1" applyBorder="1" applyAlignment="1">
      <alignment horizontal="right" vertical="center"/>
    </xf>
    <xf numFmtId="43" fontId="46" fillId="0" borderId="1" xfId="0" applyNumberFormat="1" applyFont="1" applyBorder="1" applyAlignment="1">
      <alignment horizontal="right" vertical="center"/>
    </xf>
    <xf numFmtId="165" fontId="28" fillId="0" borderId="0" xfId="1" applyNumberFormat="1" applyFont="1" applyBorder="1" applyAlignment="1">
      <alignment horizontal="right" vertical="center"/>
    </xf>
    <xf numFmtId="0" fontId="27" fillId="0" borderId="1" xfId="0" applyFont="1" applyBorder="1" applyAlignment="1">
      <alignment horizontal="center" vertical="center"/>
    </xf>
    <xf numFmtId="43" fontId="45" fillId="0" borderId="1" xfId="0" applyNumberFormat="1" applyFont="1" applyBorder="1" applyAlignment="1">
      <alignment horizontal="right" vertical="center"/>
    </xf>
    <xf numFmtId="165" fontId="27" fillId="0" borderId="0" xfId="1" applyNumberFormat="1" applyFont="1" applyBorder="1" applyAlignment="1">
      <alignment horizontal="right" vertical="center"/>
    </xf>
    <xf numFmtId="2" fontId="28" fillId="3" borderId="11" xfId="3" applyNumberFormat="1" applyFont="1" applyFill="1" applyBorder="1" applyAlignment="1">
      <alignment horizontal="center" vertical="center"/>
    </xf>
    <xf numFmtId="0" fontId="28" fillId="3" borderId="1" xfId="0" applyFont="1" applyFill="1" applyBorder="1" applyAlignment="1">
      <alignment horizontal="left" vertical="center" wrapText="1"/>
    </xf>
    <xf numFmtId="165" fontId="28" fillId="3" borderId="0" xfId="1" applyNumberFormat="1" applyFont="1" applyFill="1" applyAlignment="1">
      <alignment horizontal="left" vertical="center" wrapText="1"/>
    </xf>
    <xf numFmtId="0" fontId="26" fillId="2" borderId="1" xfId="0" applyFont="1" applyFill="1" applyBorder="1" applyAlignment="1">
      <alignment horizontal="left" vertical="center" wrapText="1"/>
    </xf>
    <xf numFmtId="0" fontId="27" fillId="0" borderId="1" xfId="0" applyFont="1" applyBorder="1" applyAlignment="1">
      <alignment horizontal="left" vertical="center" wrapText="1"/>
    </xf>
    <xf numFmtId="165" fontId="28" fillId="0" borderId="1" xfId="1" applyNumberFormat="1" applyFont="1" applyFill="1" applyBorder="1" applyAlignment="1">
      <alignment horizontal="center" vertical="center"/>
    </xf>
    <xf numFmtId="43" fontId="28" fillId="0" borderId="1" xfId="1" applyFont="1" applyFill="1" applyBorder="1" applyAlignment="1">
      <alignment horizontal="right" vertical="center"/>
    </xf>
    <xf numFmtId="165" fontId="28" fillId="0" borderId="1" xfId="1" applyNumberFormat="1" applyFont="1" applyFill="1" applyBorder="1" applyAlignment="1">
      <alignment horizontal="right" vertical="center"/>
    </xf>
    <xf numFmtId="2" fontId="28" fillId="3" borderId="11" xfId="0" applyNumberFormat="1" applyFont="1" applyFill="1" applyBorder="1" applyAlignment="1">
      <alignment horizontal="center" vertical="center"/>
    </xf>
    <xf numFmtId="165" fontId="28" fillId="3" borderId="1" xfId="1" applyNumberFormat="1" applyFont="1" applyFill="1" applyBorder="1" applyAlignment="1">
      <alignment horizontal="left" vertical="center" wrapText="1"/>
    </xf>
    <xf numFmtId="165" fontId="28" fillId="3" borderId="0" xfId="1" applyNumberFormat="1" applyFont="1" applyFill="1" applyBorder="1" applyAlignment="1">
      <alignment horizontal="left" vertical="center" wrapText="1"/>
    </xf>
    <xf numFmtId="165" fontId="27" fillId="3" borderId="1" xfId="1" applyNumberFormat="1" applyFont="1" applyFill="1" applyBorder="1" applyAlignment="1">
      <alignment horizontal="left" vertical="center" wrapText="1"/>
    </xf>
    <xf numFmtId="165" fontId="27" fillId="3" borderId="1" xfId="1" applyNumberFormat="1" applyFont="1" applyFill="1" applyBorder="1" applyAlignment="1">
      <alignment horizontal="center" vertical="center"/>
    </xf>
    <xf numFmtId="43" fontId="27" fillId="3" borderId="1" xfId="1" applyFont="1" applyFill="1" applyBorder="1" applyAlignment="1">
      <alignment horizontal="right" vertical="center"/>
    </xf>
    <xf numFmtId="165" fontId="27" fillId="3" borderId="0" xfId="1" applyNumberFormat="1" applyFont="1" applyFill="1" applyBorder="1" applyAlignment="1">
      <alignment horizontal="right" vertical="center"/>
    </xf>
    <xf numFmtId="43" fontId="28" fillId="0" borderId="1" xfId="1" applyFont="1" applyFill="1" applyBorder="1" applyAlignment="1">
      <alignment horizontal="left" vertical="center" wrapText="1"/>
    </xf>
    <xf numFmtId="43" fontId="27" fillId="0" borderId="1" xfId="1" applyFont="1" applyFill="1" applyBorder="1" applyAlignment="1">
      <alignment horizontal="center" vertical="center" wrapText="1"/>
    </xf>
    <xf numFmtId="165" fontId="27" fillId="0" borderId="0" xfId="1" applyNumberFormat="1" applyFont="1" applyFill="1" applyBorder="1" applyAlignment="1">
      <alignment horizontal="right" vertical="center" wrapText="1"/>
    </xf>
    <xf numFmtId="43" fontId="27" fillId="0" borderId="1" xfId="1" applyFont="1" applyFill="1" applyBorder="1" applyAlignment="1">
      <alignment horizontal="left" vertical="center" wrapText="1"/>
    </xf>
    <xf numFmtId="43" fontId="28" fillId="0" borderId="1" xfId="1" applyFont="1" applyFill="1" applyBorder="1" applyAlignment="1">
      <alignment horizontal="center" vertical="center" wrapText="1"/>
    </xf>
    <xf numFmtId="165" fontId="27" fillId="2" borderId="0" xfId="1" applyNumberFormat="1" applyFont="1" applyFill="1" applyBorder="1" applyAlignment="1">
      <alignment horizontal="right" vertical="center" wrapText="1"/>
    </xf>
    <xf numFmtId="43" fontId="28" fillId="0" borderId="1" xfId="1" applyFont="1" applyFill="1" applyBorder="1" applyAlignment="1">
      <alignment horizontal="left" vertical="center" wrapText="1"/>
    </xf>
    <xf numFmtId="165" fontId="28" fillId="0" borderId="0" xfId="1" applyNumberFormat="1" applyFont="1" applyFill="1" applyBorder="1" applyAlignment="1">
      <alignment horizontal="left" vertical="center" wrapText="1"/>
    </xf>
    <xf numFmtId="43" fontId="26" fillId="2" borderId="1" xfId="1" applyFont="1" applyFill="1" applyBorder="1" applyAlignment="1">
      <alignment horizontal="left" vertical="center" wrapText="1"/>
    </xf>
    <xf numFmtId="43" fontId="26" fillId="2" borderId="1" xfId="1" applyFont="1" applyFill="1" applyBorder="1" applyAlignment="1">
      <alignment horizontal="center" vertical="center" wrapText="1"/>
    </xf>
    <xf numFmtId="165" fontId="26" fillId="2" borderId="0" xfId="1" applyNumberFormat="1" applyFont="1" applyFill="1" applyBorder="1" applyAlignment="1">
      <alignment horizontal="right" vertical="center" wrapText="1"/>
    </xf>
    <xf numFmtId="43" fontId="46" fillId="0" borderId="1" xfId="1" applyFont="1" applyFill="1" applyBorder="1" applyAlignment="1">
      <alignment horizontal="right" vertical="center"/>
    </xf>
    <xf numFmtId="165" fontId="28" fillId="0" borderId="1" xfId="1" applyNumberFormat="1" applyFont="1" applyFill="1" applyBorder="1" applyAlignment="1">
      <alignment horizontal="left" vertical="center"/>
    </xf>
    <xf numFmtId="165" fontId="28" fillId="0" borderId="1" xfId="1" applyNumberFormat="1" applyFont="1" applyFill="1" applyBorder="1" applyAlignment="1">
      <alignment horizontal="left" vertical="center" wrapText="1"/>
    </xf>
    <xf numFmtId="43" fontId="28" fillId="3" borderId="1" xfId="1" applyFont="1" applyFill="1" applyBorder="1" applyAlignment="1">
      <alignment horizontal="left" vertical="center" wrapText="1"/>
    </xf>
    <xf numFmtId="43" fontId="27" fillId="3" borderId="1" xfId="1" applyFont="1" applyFill="1" applyBorder="1" applyAlignment="1">
      <alignment horizontal="center" vertical="center" wrapText="1"/>
    </xf>
    <xf numFmtId="43" fontId="45" fillId="3" borderId="1" xfId="1" applyFont="1" applyFill="1" applyBorder="1" applyAlignment="1">
      <alignment horizontal="right" vertical="center"/>
    </xf>
    <xf numFmtId="165" fontId="27" fillId="3" borderId="0" xfId="1" applyNumberFormat="1" applyFont="1" applyFill="1" applyBorder="1" applyAlignment="1">
      <alignment horizontal="right" vertical="center" wrapText="1"/>
    </xf>
    <xf numFmtId="43" fontId="27" fillId="3" borderId="1" xfId="1" applyFont="1" applyFill="1" applyBorder="1" applyAlignment="1">
      <alignment horizontal="left" vertical="center" wrapText="1"/>
    </xf>
    <xf numFmtId="43" fontId="28" fillId="3" borderId="1" xfId="1" applyFont="1" applyFill="1" applyBorder="1" applyAlignment="1">
      <alignment horizontal="center" vertical="center" wrapText="1"/>
    </xf>
    <xf numFmtId="43" fontId="28" fillId="3" borderId="1" xfId="1" applyFont="1" applyFill="1" applyBorder="1" applyAlignment="1">
      <alignment horizontal="right" vertical="center"/>
    </xf>
    <xf numFmtId="166" fontId="27" fillId="0" borderId="1" xfId="1" applyNumberFormat="1" applyFont="1" applyFill="1" applyBorder="1" applyAlignment="1">
      <alignment horizontal="right" vertical="center"/>
    </xf>
    <xf numFmtId="166" fontId="27" fillId="3" borderId="1" xfId="1" applyNumberFormat="1" applyFont="1" applyFill="1" applyBorder="1" applyAlignment="1">
      <alignment horizontal="right" vertical="center"/>
    </xf>
    <xf numFmtId="43" fontId="27" fillId="3" borderId="1" xfId="1" applyFont="1" applyFill="1" applyBorder="1" applyAlignment="1">
      <alignment horizontal="right" vertical="center" wrapText="1"/>
    </xf>
    <xf numFmtId="165" fontId="47" fillId="0" borderId="1" xfId="1" applyNumberFormat="1" applyFont="1" applyFill="1" applyBorder="1" applyAlignment="1">
      <alignment horizontal="right" vertical="center"/>
    </xf>
    <xf numFmtId="165" fontId="28" fillId="0" borderId="0" xfId="1" applyNumberFormat="1" applyFont="1" applyFill="1" applyBorder="1" applyAlignment="1">
      <alignment horizontal="right" vertical="center"/>
    </xf>
    <xf numFmtId="168" fontId="26" fillId="2" borderId="1" xfId="1" applyNumberFormat="1" applyFont="1" applyFill="1" applyBorder="1" applyAlignment="1">
      <alignment horizontal="right" vertical="center"/>
    </xf>
    <xf numFmtId="0" fontId="27" fillId="3" borderId="1" xfId="0" applyFont="1" applyFill="1" applyBorder="1" applyAlignment="1">
      <alignment horizontal="left" vertical="center" wrapText="1"/>
    </xf>
    <xf numFmtId="0" fontId="28" fillId="0" borderId="1" xfId="0" applyFont="1" applyBorder="1" applyAlignment="1">
      <alignment horizontal="right" vertical="center"/>
    </xf>
    <xf numFmtId="0" fontId="26" fillId="2" borderId="1" xfId="0" applyFont="1" applyFill="1" applyBorder="1" applyAlignment="1">
      <alignment horizontal="center" vertical="center"/>
    </xf>
    <xf numFmtId="167" fontId="26" fillId="2" borderId="1" xfId="0" applyNumberFormat="1" applyFont="1" applyFill="1" applyBorder="1" applyAlignment="1">
      <alignment horizontal="right" vertical="center"/>
    </xf>
    <xf numFmtId="165" fontId="29" fillId="3" borderId="1" xfId="1" applyNumberFormat="1" applyFont="1" applyFill="1" applyBorder="1" applyAlignment="1">
      <alignment horizontal="left" vertical="center" wrapText="1"/>
    </xf>
    <xf numFmtId="165" fontId="25" fillId="3" borderId="1" xfId="1" applyNumberFormat="1" applyFont="1" applyFill="1" applyBorder="1" applyAlignment="1">
      <alignment horizontal="center" vertical="center"/>
    </xf>
    <xf numFmtId="2" fontId="25" fillId="3" borderId="1" xfId="1" applyNumberFormat="1" applyFont="1" applyFill="1" applyBorder="1" applyAlignment="1">
      <alignment horizontal="right" vertical="center"/>
    </xf>
    <xf numFmtId="165" fontId="25" fillId="3" borderId="0" xfId="1" applyNumberFormat="1" applyFont="1" applyFill="1" applyBorder="1" applyAlignment="1">
      <alignment horizontal="right" vertical="center"/>
    </xf>
    <xf numFmtId="165" fontId="25" fillId="3" borderId="1" xfId="1" applyNumberFormat="1" applyFont="1" applyFill="1" applyBorder="1" applyAlignment="1">
      <alignment horizontal="left" vertical="center" wrapText="1"/>
    </xf>
    <xf numFmtId="0" fontId="27" fillId="3" borderId="1" xfId="0" applyFont="1" applyFill="1" applyBorder="1" applyAlignment="1">
      <alignment horizontal="center" vertical="center"/>
    </xf>
    <xf numFmtId="43" fontId="28" fillId="3" borderId="1" xfId="1" applyFont="1" applyFill="1" applyBorder="1" applyAlignment="1">
      <alignment horizontal="left" vertical="center" wrapText="1"/>
    </xf>
    <xf numFmtId="0" fontId="0" fillId="3" borderId="0" xfId="0" applyFont="1" applyFill="1"/>
    <xf numFmtId="4" fontId="26" fillId="2" borderId="1" xfId="0" applyNumberFormat="1" applyFont="1" applyFill="1" applyBorder="1" applyAlignment="1">
      <alignment horizontal="right" vertical="center"/>
    </xf>
    <xf numFmtId="3" fontId="27" fillId="0" borderId="1" xfId="0" applyNumberFormat="1" applyFont="1" applyBorder="1" applyAlignment="1">
      <alignment horizontal="right" vertical="center"/>
    </xf>
    <xf numFmtId="165" fontId="28" fillId="0" borderId="0" xfId="1" applyNumberFormat="1" applyFont="1" applyFill="1" applyBorder="1" applyAlignment="1">
      <alignment horizontal="right" vertical="center" wrapText="1"/>
    </xf>
    <xf numFmtId="0" fontId="29" fillId="0" borderId="1" xfId="0" applyFont="1" applyBorder="1" applyAlignment="1">
      <alignment horizontal="left" vertical="center"/>
    </xf>
    <xf numFmtId="43" fontId="26" fillId="0" borderId="1" xfId="1" applyFont="1" applyFill="1" applyBorder="1" applyAlignment="1">
      <alignment horizontal="left" vertical="center" wrapText="1"/>
    </xf>
    <xf numFmtId="43" fontId="26" fillId="0" borderId="1" xfId="1" applyFont="1" applyFill="1" applyBorder="1" applyAlignment="1">
      <alignment horizontal="center" vertical="center" wrapText="1"/>
    </xf>
    <xf numFmtId="43" fontId="26" fillId="0" borderId="1" xfId="1" applyFont="1" applyFill="1" applyBorder="1" applyAlignment="1">
      <alignment horizontal="right" vertical="center"/>
    </xf>
    <xf numFmtId="165" fontId="26" fillId="0" borderId="0" xfId="1" applyNumberFormat="1" applyFont="1" applyFill="1" applyBorder="1" applyAlignment="1">
      <alignment horizontal="right" vertical="center" wrapText="1"/>
    </xf>
    <xf numFmtId="2" fontId="27" fillId="0" borderId="1"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2" fontId="27" fillId="0" borderId="1" xfId="1" applyNumberFormat="1" applyFont="1" applyFill="1" applyBorder="1" applyAlignment="1">
      <alignment horizontal="center" vertical="center" wrapText="1"/>
    </xf>
    <xf numFmtId="2" fontId="28" fillId="0" borderId="1" xfId="1" applyNumberFormat="1" applyFont="1" applyFill="1" applyBorder="1" applyAlignment="1">
      <alignment horizontal="center" vertical="center" wrapText="1"/>
    </xf>
    <xf numFmtId="2" fontId="26" fillId="2" borderId="1" xfId="0" applyNumberFormat="1" applyFont="1" applyFill="1" applyBorder="1" applyAlignment="1">
      <alignment horizontal="center" vertical="center"/>
    </xf>
    <xf numFmtId="2" fontId="25" fillId="0" borderId="1" xfId="0" applyNumberFormat="1" applyFont="1" applyBorder="1" applyAlignment="1">
      <alignment horizontal="center" vertical="center"/>
    </xf>
    <xf numFmtId="2" fontId="29" fillId="0" borderId="1" xfId="0" applyNumberFormat="1" applyFont="1" applyBorder="1" applyAlignment="1">
      <alignment horizontal="center" vertical="center"/>
    </xf>
    <xf numFmtId="0" fontId="28" fillId="0" borderId="1" xfId="0" applyFont="1" applyBorder="1" applyAlignment="1">
      <alignment horizontal="left" vertical="center" wrapText="1"/>
    </xf>
    <xf numFmtId="165" fontId="28" fillId="0" borderId="0" xfId="1" applyNumberFormat="1" applyFont="1" applyAlignment="1">
      <alignment horizontal="left" vertical="center" wrapText="1"/>
    </xf>
    <xf numFmtId="2" fontId="26" fillId="2" borderId="1" xfId="3" applyNumberFormat="1"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1" xfId="0" applyFont="1" applyFill="1" applyBorder="1" applyAlignment="1">
      <alignment horizontal="right" vertical="center" wrapText="1"/>
    </xf>
    <xf numFmtId="165" fontId="48" fillId="2" borderId="0" xfId="1" applyNumberFormat="1" applyFont="1" applyFill="1"/>
    <xf numFmtId="0" fontId="49" fillId="0" borderId="0" xfId="0" applyFont="1"/>
    <xf numFmtId="2" fontId="27" fillId="0" borderId="1" xfId="0" applyNumberFormat="1" applyFont="1" applyBorder="1" applyAlignment="1">
      <alignment horizontal="center" vertical="center"/>
    </xf>
    <xf numFmtId="165" fontId="49" fillId="0" borderId="0" xfId="1" applyNumberFormat="1" applyFont="1"/>
    <xf numFmtId="2" fontId="27" fillId="0" borderId="1" xfId="1" applyNumberFormat="1" applyFont="1" applyFill="1" applyBorder="1" applyAlignment="1">
      <alignment horizontal="center" vertical="center"/>
    </xf>
    <xf numFmtId="2" fontId="28" fillId="0" borderId="1" xfId="1" applyNumberFormat="1" applyFont="1" applyFill="1" applyBorder="1" applyAlignment="1">
      <alignment horizontal="center" vertical="center"/>
    </xf>
    <xf numFmtId="2" fontId="25" fillId="3"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right" vertical="center"/>
    </xf>
    <xf numFmtId="165" fontId="26" fillId="2" borderId="0" xfId="1" applyNumberFormat="1" applyFont="1" applyFill="1" applyAlignment="1">
      <alignment horizontal="right" vertical="center" wrapText="1"/>
    </xf>
    <xf numFmtId="2" fontId="28" fillId="0" borderId="13" xfId="1" applyNumberFormat="1" applyFont="1" applyFill="1" applyBorder="1" applyAlignment="1">
      <alignment horizontal="center" vertical="center"/>
    </xf>
    <xf numFmtId="165" fontId="28" fillId="0" borderId="14" xfId="1" applyNumberFormat="1" applyFont="1" applyFill="1" applyBorder="1" applyAlignment="1">
      <alignment horizontal="left" vertical="center" wrapText="1"/>
    </xf>
    <xf numFmtId="165" fontId="28" fillId="0" borderId="14" xfId="1" applyNumberFormat="1" applyFont="1" applyFill="1" applyBorder="1" applyAlignment="1">
      <alignment horizontal="center" vertical="center"/>
    </xf>
    <xf numFmtId="165" fontId="28" fillId="0" borderId="14" xfId="1" applyNumberFormat="1" applyFont="1" applyFill="1" applyBorder="1" applyAlignment="1">
      <alignment horizontal="right" vertical="center"/>
    </xf>
    <xf numFmtId="2" fontId="29" fillId="0" borderId="15" xfId="0" applyNumberFormat="1" applyFont="1" applyBorder="1" applyAlignment="1">
      <alignment horizontal="center" vertical="center"/>
    </xf>
    <xf numFmtId="0" fontId="29" fillId="0" borderId="16" xfId="0" applyFont="1" applyBorder="1" applyAlignment="1">
      <alignment horizontal="left" vertical="center"/>
    </xf>
    <xf numFmtId="165" fontId="29" fillId="0" borderId="0" xfId="1" applyNumberFormat="1" applyFont="1" applyAlignment="1">
      <alignment horizontal="right" vertical="center"/>
    </xf>
    <xf numFmtId="165" fontId="0" fillId="0" borderId="0" xfId="0" applyNumberFormat="1" applyFont="1" applyAlignment="1">
      <alignment horizontal="right" vertical="center"/>
    </xf>
    <xf numFmtId="165" fontId="0" fillId="0" borderId="6" xfId="1" applyNumberFormat="1" applyFont="1" applyFill="1" applyBorder="1"/>
    <xf numFmtId="165" fontId="13" fillId="7" borderId="0" xfId="1" applyNumberFormat="1" applyFont="1" applyFill="1" applyBorder="1" applyAlignment="1">
      <alignment horizontal="right" vertical="center"/>
    </xf>
    <xf numFmtId="0" fontId="3" fillId="0" borderId="6" xfId="0" applyFont="1" applyBorder="1"/>
    <xf numFmtId="43" fontId="0" fillId="0" borderId="0" xfId="1" applyFont="1"/>
    <xf numFmtId="43" fontId="3" fillId="0" borderId="0" xfId="1" applyFont="1"/>
    <xf numFmtId="43" fontId="0" fillId="0" borderId="0" xfId="0" applyNumberFormat="1"/>
  </cellXfs>
  <cellStyles count="11">
    <cellStyle name="Comma" xfId="1" builtinId="3"/>
    <cellStyle name="Comma [0]" xfId="2" builtinId="6"/>
    <cellStyle name="Comma 14" xfId="10" xr:uid="{00000000-0005-0000-0000-000002000000}"/>
    <cellStyle name="Comma 14 2" xfId="9" xr:uid="{00000000-0005-0000-0000-000003000000}"/>
    <cellStyle name="Comma 17" xfId="6" xr:uid="{00000000-0005-0000-0000-000004000000}"/>
    <cellStyle name="Comma 17 3" xfId="8" xr:uid="{00000000-0005-0000-0000-000005000000}"/>
    <cellStyle name="Comma 5" xfId="7" xr:uid="{00000000-0005-0000-0000-000006000000}"/>
    <cellStyle name="Normal" xfId="0" builtinId="0"/>
    <cellStyle name="Normal 12 2" xfId="5" xr:uid="{00000000-0005-0000-0000-000009000000}"/>
    <cellStyle name="Normal 2 12 3" xfId="4" xr:uid="{00000000-0005-0000-0000-00000A000000}"/>
    <cellStyle name="Normal 2 2 3" xfId="3"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esktop/PROJECTS/HORIZON%20CONSTRUCTION/New%20Bugesera%20International%20(NBIA),%20Rwanda%20Construction%20of%20Works/Finishes%20breakwo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m thick plaster"/>
      <sheetName val="Emulsion Paint"/>
      <sheetName val="40mm Screed (2)"/>
      <sheetName val="Carpet ( to the conference)"/>
      <sheetName val="Gypsum Ceiling"/>
      <sheetName val="18mm MDF Cladding "/>
      <sheetName val="12mmGypsum Partitioning(Double)"/>
    </sheetNames>
    <sheetDataSet>
      <sheetData sheetId="0" refreshError="1"/>
      <sheetData sheetId="1" refreshError="1">
        <row r="11">
          <cell r="G11">
            <v>20</v>
          </cell>
        </row>
        <row r="19">
          <cell r="B19" t="str">
            <v>Induit/undercoat ( 2 coats)</v>
          </cell>
        </row>
        <row r="20">
          <cell r="B20" t="str">
            <v>Whiting/stucco ( 2 coats)</v>
          </cell>
        </row>
        <row r="21">
          <cell r="B21" t="str">
            <v>Colle</v>
          </cell>
        </row>
        <row r="22">
          <cell r="B22" t="str">
            <v>Emulsion paint ( 3 coats)</v>
          </cell>
        </row>
        <row r="23">
          <cell r="B23" t="str">
            <v>Brush</v>
          </cell>
        </row>
        <row r="24">
          <cell r="B24" t="str">
            <v>Roller</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6"/>
  <sheetViews>
    <sheetView tabSelected="1" workbookViewId="0">
      <selection activeCell="J12" sqref="J12"/>
    </sheetView>
  </sheetViews>
  <sheetFormatPr defaultRowHeight="15"/>
  <cols>
    <col min="1" max="1" width="26.85546875" customWidth="1"/>
    <col min="2" max="2" width="8.85546875" bestFit="1" customWidth="1"/>
    <col min="3" max="3" width="13.85546875" bestFit="1" customWidth="1"/>
    <col min="4" max="4" width="12.5703125" customWidth="1"/>
    <col min="5" max="5" width="12" customWidth="1"/>
    <col min="6" max="6" width="15.42578125" bestFit="1" customWidth="1"/>
    <col min="7" max="7" width="13.85546875" bestFit="1" customWidth="1"/>
    <col min="8" max="8" width="12.140625" customWidth="1"/>
    <col min="9" max="9" width="16.42578125" customWidth="1"/>
    <col min="10" max="10" width="14.28515625" bestFit="1" customWidth="1"/>
    <col min="11" max="11" width="15.42578125" customWidth="1"/>
  </cols>
  <sheetData>
    <row r="2" spans="1:11" s="60" customFormat="1">
      <c r="A2" s="491" t="s">
        <v>230</v>
      </c>
      <c r="B2" s="491"/>
      <c r="C2" s="491"/>
      <c r="D2" s="491"/>
      <c r="E2" s="491"/>
      <c r="F2" s="491"/>
      <c r="G2" s="491"/>
      <c r="H2" s="491"/>
      <c r="I2" s="491"/>
    </row>
    <row r="3" spans="1:11" s="60" customFormat="1" ht="30">
      <c r="A3" s="492"/>
      <c r="B3" s="492"/>
      <c r="C3" s="493" t="s">
        <v>228</v>
      </c>
      <c r="D3" s="493"/>
      <c r="E3" s="493" t="s">
        <v>229</v>
      </c>
      <c r="F3" s="493"/>
      <c r="G3" s="493" t="s">
        <v>225</v>
      </c>
      <c r="H3" s="493"/>
      <c r="I3" s="494" t="s">
        <v>231</v>
      </c>
    </row>
    <row r="4" spans="1:11" s="60" customFormat="1" ht="30">
      <c r="A4" s="492" t="s">
        <v>232</v>
      </c>
      <c r="B4" s="492" t="s">
        <v>233</v>
      </c>
      <c r="C4" s="492" t="s">
        <v>227</v>
      </c>
      <c r="D4" s="495" t="s">
        <v>226</v>
      </c>
      <c r="E4" s="495" t="s">
        <v>227</v>
      </c>
      <c r="F4" s="495" t="s">
        <v>226</v>
      </c>
      <c r="G4" s="495" t="s">
        <v>227</v>
      </c>
      <c r="H4" s="495" t="s">
        <v>226</v>
      </c>
      <c r="I4" s="495" t="s">
        <v>227</v>
      </c>
    </row>
    <row r="5" spans="1:11">
      <c r="A5" s="450" t="s">
        <v>216</v>
      </c>
      <c r="B5" s="451">
        <v>1</v>
      </c>
      <c r="C5" s="451">
        <v>14874410.814845482</v>
      </c>
      <c r="D5" s="451">
        <f>C5*B5</f>
        <v>14874410.814845482</v>
      </c>
      <c r="E5" s="623">
        <v>13292616.065502727</v>
      </c>
      <c r="F5" s="451">
        <f>E5*B5</f>
        <v>13292616.065502727</v>
      </c>
      <c r="G5" s="451">
        <v>12511072.99288431</v>
      </c>
      <c r="H5" s="451">
        <f>G5*B5</f>
        <v>12511072.99288431</v>
      </c>
      <c r="I5" s="452">
        <v>11716124.941038033</v>
      </c>
      <c r="J5" s="626"/>
      <c r="K5" s="628"/>
    </row>
    <row r="6" spans="1:11">
      <c r="A6" s="450" t="s">
        <v>217</v>
      </c>
      <c r="B6" s="451">
        <v>1</v>
      </c>
      <c r="C6" s="466">
        <v>6055529.3441842282</v>
      </c>
      <c r="D6" s="451">
        <f t="shared" ref="D6:D15" si="0">C6*B6</f>
        <v>6055529.3441842282</v>
      </c>
      <c r="E6" s="451">
        <v>5245870.309137878</v>
      </c>
      <c r="F6" s="451">
        <f t="shared" ref="F6:F15" si="1">E6*B6</f>
        <v>5245870.309137878</v>
      </c>
      <c r="G6" s="451">
        <v>4831034.4065285083</v>
      </c>
      <c r="H6" s="451">
        <f t="shared" ref="H6:H13" si="2">G6*B6</f>
        <v>4831034.4065285083</v>
      </c>
      <c r="I6" s="452">
        <v>4415307.5730799288</v>
      </c>
      <c r="J6" s="626"/>
      <c r="K6" s="628"/>
    </row>
    <row r="7" spans="1:11">
      <c r="A7" s="450" t="s">
        <v>218</v>
      </c>
      <c r="B7" s="451">
        <v>1</v>
      </c>
      <c r="C7" s="466">
        <v>11657802.742822576</v>
      </c>
      <c r="D7" s="451">
        <f t="shared" si="0"/>
        <v>11657802.742822576</v>
      </c>
      <c r="E7" s="623">
        <v>11469603.076468509</v>
      </c>
      <c r="F7" s="451">
        <f t="shared" si="1"/>
        <v>11469603.076468509</v>
      </c>
      <c r="G7" s="451">
        <v>9348512.6129950266</v>
      </c>
      <c r="H7" s="451">
        <f t="shared" si="2"/>
        <v>9348512.6129950266</v>
      </c>
      <c r="I7" s="452">
        <v>9014016.946953889</v>
      </c>
      <c r="J7" s="626"/>
      <c r="K7" s="628"/>
    </row>
    <row r="8" spans="1:11">
      <c r="A8" s="450" t="s">
        <v>219</v>
      </c>
      <c r="B8" s="451">
        <v>1</v>
      </c>
      <c r="C8" s="466">
        <v>9429189.4954247959</v>
      </c>
      <c r="D8" s="451">
        <f t="shared" si="0"/>
        <v>9429189.4954247959</v>
      </c>
      <c r="E8" s="466">
        <v>8232703.4431591667</v>
      </c>
      <c r="F8" s="451">
        <f t="shared" si="1"/>
        <v>8232703.4431591667</v>
      </c>
      <c r="G8" s="451">
        <v>6864594.9894250222</v>
      </c>
      <c r="H8" s="451">
        <f t="shared" si="2"/>
        <v>6864594.9894250222</v>
      </c>
      <c r="I8" s="452">
        <v>7210784.3504864471</v>
      </c>
      <c r="J8" s="626"/>
      <c r="K8" s="628"/>
    </row>
    <row r="9" spans="1:11">
      <c r="A9" s="450" t="s">
        <v>220</v>
      </c>
      <c r="B9" s="451">
        <v>1</v>
      </c>
      <c r="C9" s="466">
        <v>6600503.1826498909</v>
      </c>
      <c r="D9" s="451">
        <f t="shared" si="0"/>
        <v>6600503.1826498909</v>
      </c>
      <c r="E9" s="466">
        <v>6298033.6190212872</v>
      </c>
      <c r="F9" s="451">
        <f t="shared" si="1"/>
        <v>6298033.6190212872</v>
      </c>
      <c r="G9" s="451">
        <v>5349017.4087387938</v>
      </c>
      <c r="H9" s="451">
        <f t="shared" si="2"/>
        <v>5349017.4087387938</v>
      </c>
      <c r="I9" s="452">
        <v>5625578.0131707303</v>
      </c>
      <c r="J9" s="626"/>
      <c r="K9" s="628"/>
    </row>
    <row r="10" spans="1:11">
      <c r="A10" s="450" t="s">
        <v>221</v>
      </c>
      <c r="B10" s="451">
        <v>1</v>
      </c>
      <c r="C10" s="451">
        <v>6166825.7032001615</v>
      </c>
      <c r="D10" s="451">
        <f t="shared" si="0"/>
        <v>6166825.7032001615</v>
      </c>
      <c r="E10" s="466">
        <v>5722780.0243319254</v>
      </c>
      <c r="F10" s="451">
        <f t="shared" si="1"/>
        <v>5722780.0243319254</v>
      </c>
      <c r="G10" s="451">
        <v>5413231.6281197732</v>
      </c>
      <c r="H10" s="451">
        <f t="shared" si="2"/>
        <v>5413231.6281197732</v>
      </c>
      <c r="I10" s="452">
        <v>4818499.4867303222</v>
      </c>
      <c r="J10" s="626"/>
      <c r="K10" s="628"/>
    </row>
    <row r="11" spans="1:11">
      <c r="A11" s="450" t="s">
        <v>234</v>
      </c>
      <c r="B11" s="451">
        <v>1</v>
      </c>
      <c r="C11" s="451">
        <v>18336585.023681734</v>
      </c>
      <c r="D11" s="451">
        <f t="shared" si="0"/>
        <v>18336585.023681734</v>
      </c>
      <c r="E11" s="466">
        <v>20093051.391949154</v>
      </c>
      <c r="F11" s="451">
        <f t="shared" si="1"/>
        <v>20093051.391949154</v>
      </c>
      <c r="G11" s="451">
        <v>15686464.081685498</v>
      </c>
      <c r="H11" s="451">
        <f t="shared" si="2"/>
        <v>15686464.081685498</v>
      </c>
      <c r="I11" s="452">
        <v>15650822.129858756</v>
      </c>
      <c r="J11" s="626"/>
      <c r="K11" s="628"/>
    </row>
    <row r="12" spans="1:11">
      <c r="A12" s="450" t="s">
        <v>223</v>
      </c>
      <c r="B12" s="451">
        <v>1</v>
      </c>
      <c r="C12" s="451">
        <v>5217034</v>
      </c>
      <c r="D12" s="451">
        <f t="shared" si="0"/>
        <v>5217034</v>
      </c>
      <c r="E12" s="451">
        <v>1500000</v>
      </c>
      <c r="F12" s="451">
        <f t="shared" si="1"/>
        <v>1500000</v>
      </c>
      <c r="G12" s="451">
        <v>2800000</v>
      </c>
      <c r="H12" s="451">
        <f t="shared" si="2"/>
        <v>2800000</v>
      </c>
      <c r="I12" s="452">
        <v>5200000</v>
      </c>
      <c r="J12" s="626"/>
      <c r="K12" s="628"/>
    </row>
    <row r="13" spans="1:11">
      <c r="A13" s="450" t="s">
        <v>224</v>
      </c>
      <c r="B13" s="451">
        <v>1</v>
      </c>
      <c r="C13" s="451">
        <v>7452905</v>
      </c>
      <c r="D13" s="451">
        <f t="shared" si="0"/>
        <v>7452905</v>
      </c>
      <c r="E13" s="451">
        <v>1500000</v>
      </c>
      <c r="F13" s="451">
        <f t="shared" si="1"/>
        <v>1500000</v>
      </c>
      <c r="G13" s="451">
        <v>2500000</v>
      </c>
      <c r="H13" s="451">
        <f t="shared" si="2"/>
        <v>2500000</v>
      </c>
      <c r="I13" s="452">
        <v>3500000</v>
      </c>
      <c r="J13" s="626"/>
      <c r="K13" s="628"/>
    </row>
    <row r="14" spans="1:11" s="60" customFormat="1">
      <c r="A14" s="625" t="s">
        <v>235</v>
      </c>
      <c r="B14" s="453"/>
      <c r="C14" s="453"/>
      <c r="D14" s="453">
        <f>SUM(D5:D13)</f>
        <v>85790785.306808874</v>
      </c>
      <c r="E14" s="453"/>
      <c r="F14" s="453">
        <f>SUM(F5:F13)</f>
        <v>73354657.929570645</v>
      </c>
      <c r="G14" s="453"/>
      <c r="H14" s="453">
        <f>SUM(H5:H13)</f>
        <v>65303928.120376937</v>
      </c>
      <c r="I14" s="454">
        <f>SUM(I5:I13)</f>
        <v>67151133.441318095</v>
      </c>
      <c r="J14" s="627"/>
      <c r="K14" s="628"/>
    </row>
    <row r="15" spans="1:11" s="60" customFormat="1">
      <c r="A15" s="625" t="s">
        <v>236</v>
      </c>
      <c r="B15" s="453"/>
      <c r="C15" s="453"/>
      <c r="D15" s="453">
        <f>D14*15%</f>
        <v>12868617.796021331</v>
      </c>
      <c r="E15" s="453"/>
      <c r="F15" s="453">
        <f>F14*15%</f>
        <v>11003198.689435596</v>
      </c>
      <c r="G15" s="453"/>
      <c r="H15" s="453">
        <f>H14*15%</f>
        <v>9795589.2180565409</v>
      </c>
      <c r="I15" s="454">
        <f>I14*15%</f>
        <v>10072670.016197713</v>
      </c>
      <c r="K15" s="628"/>
    </row>
    <row r="16" spans="1:11" s="60" customFormat="1">
      <c r="A16" s="625" t="s">
        <v>177</v>
      </c>
      <c r="B16" s="453"/>
      <c r="C16" s="453"/>
      <c r="D16" s="453">
        <f>D14+D15</f>
        <v>98659403.102830201</v>
      </c>
      <c r="E16" s="453"/>
      <c r="F16" s="453">
        <f>F14+F15</f>
        <v>84357856.619006246</v>
      </c>
      <c r="G16" s="453"/>
      <c r="H16" s="453">
        <f>H14+H15</f>
        <v>75099517.338433474</v>
      </c>
      <c r="I16" s="454">
        <f>I14+I15</f>
        <v>77223803.457515806</v>
      </c>
      <c r="K16" s="628"/>
    </row>
  </sheetData>
  <mergeCells count="4">
    <mergeCell ref="A2:I2"/>
    <mergeCell ref="C3:D3"/>
    <mergeCell ref="E3:F3"/>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58"/>
  <sheetViews>
    <sheetView topLeftCell="A330" zoomScaleNormal="100" workbookViewId="0">
      <selection activeCell="H5" sqref="H5"/>
    </sheetView>
  </sheetViews>
  <sheetFormatPr defaultColWidth="8.85546875" defaultRowHeight="15"/>
  <cols>
    <col min="1" max="1" width="8.85546875" style="496"/>
    <col min="2" max="2" width="25.5703125" style="497" customWidth="1"/>
    <col min="3" max="3" width="12.85546875" style="498" customWidth="1"/>
    <col min="4" max="4" width="16.85546875" style="499" customWidth="1"/>
    <col min="5" max="5" width="21.5703125" style="622" customWidth="1"/>
    <col min="6" max="6" width="16.5703125" style="622" customWidth="1"/>
    <col min="7" max="7" width="12.5703125" style="502" bestFit="1" customWidth="1"/>
    <col min="8" max="8" width="22.140625" style="502" customWidth="1"/>
    <col min="9" max="9" width="10.85546875" style="502" customWidth="1"/>
    <col min="10" max="10" width="17.85546875" style="502" customWidth="1"/>
    <col min="11" max="16384" width="8.85546875" style="502"/>
  </cols>
  <sheetData>
    <row r="2" spans="1:12">
      <c r="E2" s="500" t="s">
        <v>225</v>
      </c>
      <c r="F2" s="501"/>
      <c r="G2" s="500" t="s">
        <v>229</v>
      </c>
      <c r="H2" s="501"/>
      <c r="I2" s="500" t="s">
        <v>228</v>
      </c>
      <c r="J2" s="501"/>
    </row>
    <row r="3" spans="1:12" s="234" customFormat="1" ht="44.25" customHeight="1">
      <c r="A3" s="503"/>
      <c r="B3" s="504" t="s">
        <v>120</v>
      </c>
      <c r="C3" s="504" t="s">
        <v>121</v>
      </c>
      <c r="D3" s="504" t="s">
        <v>122</v>
      </c>
      <c r="E3" s="447" t="s">
        <v>227</v>
      </c>
      <c r="F3" s="447" t="s">
        <v>226</v>
      </c>
      <c r="G3" s="448" t="s">
        <v>227</v>
      </c>
      <c r="H3" s="449" t="s">
        <v>226</v>
      </c>
      <c r="I3" s="448" t="s">
        <v>227</v>
      </c>
      <c r="J3" s="449" t="s">
        <v>226</v>
      </c>
    </row>
    <row r="4" spans="1:12" ht="21.75" customHeight="1">
      <c r="A4" s="505">
        <v>1</v>
      </c>
      <c r="B4" s="506" t="s">
        <v>93</v>
      </c>
      <c r="C4" s="506"/>
      <c r="D4" s="506"/>
      <c r="E4" s="507"/>
      <c r="F4" s="507"/>
    </row>
    <row r="5" spans="1:12" ht="24.95" customHeight="1">
      <c r="A5" s="141">
        <v>1.01</v>
      </c>
      <c r="B5" s="508" t="s">
        <v>94</v>
      </c>
      <c r="C5" s="509" t="s">
        <v>28</v>
      </c>
      <c r="D5" s="510">
        <f>44*0.8*0.4</f>
        <v>14.080000000000002</v>
      </c>
      <c r="E5" s="511">
        <v>2300</v>
      </c>
      <c r="F5" s="512">
        <f>D5*E5</f>
        <v>32384.000000000004</v>
      </c>
      <c r="G5" s="447"/>
      <c r="H5" s="367">
        <f>SUBTOTAL(9,H6:H7)</f>
        <v>78222.222222222234</v>
      </c>
      <c r="I5" s="448">
        <v>10000</v>
      </c>
      <c r="J5" s="449">
        <f t="shared" ref="J5:J68" si="0">D5*I5</f>
        <v>140800.00000000003</v>
      </c>
      <c r="K5" s="448"/>
      <c r="L5" s="449"/>
    </row>
    <row r="6" spans="1:12" ht="19.5" customHeight="1">
      <c r="A6" s="142"/>
      <c r="B6" s="513" t="s">
        <v>6</v>
      </c>
      <c r="C6" s="514"/>
      <c r="D6" s="515"/>
      <c r="E6" s="516"/>
      <c r="F6" s="517"/>
      <c r="G6" s="400"/>
      <c r="H6" s="400"/>
      <c r="I6" s="516"/>
      <c r="J6" s="400">
        <f t="shared" si="0"/>
        <v>0</v>
      </c>
    </row>
    <row r="7" spans="1:12" ht="19.5" customHeight="1">
      <c r="A7" s="142"/>
      <c r="B7" s="518" t="s">
        <v>7</v>
      </c>
      <c r="C7" s="514" t="s">
        <v>8</v>
      </c>
      <c r="D7" s="519">
        <f>D5/0.9</f>
        <v>15.644444444444446</v>
      </c>
      <c r="E7" s="516">
        <v>2070</v>
      </c>
      <c r="F7" s="517">
        <f>D7*E7</f>
        <v>32384.000000000004</v>
      </c>
      <c r="G7" s="400">
        <v>5000</v>
      </c>
      <c r="H7" s="400">
        <f>D7*G7</f>
        <v>78222.222222222234</v>
      </c>
      <c r="I7" s="516">
        <v>9000</v>
      </c>
      <c r="J7" s="400">
        <f t="shared" si="0"/>
        <v>140800</v>
      </c>
    </row>
    <row r="8" spans="1:12" ht="19.5" customHeight="1">
      <c r="A8" s="144"/>
      <c r="B8" s="520" t="s">
        <v>9</v>
      </c>
      <c r="C8" s="521"/>
      <c r="D8" s="522"/>
      <c r="E8" s="523"/>
      <c r="F8" s="517">
        <f t="shared" ref="F8:F71" si="1">D8*E8</f>
        <v>0</v>
      </c>
      <c r="G8" s="400"/>
      <c r="H8" s="400">
        <f t="shared" ref="H8:H71" si="2">D8*G8</f>
        <v>0</v>
      </c>
      <c r="I8" s="523"/>
      <c r="J8" s="400">
        <f t="shared" si="0"/>
        <v>0</v>
      </c>
    </row>
    <row r="9" spans="1:12" ht="19.5" customHeight="1">
      <c r="A9" s="141">
        <v>1.03</v>
      </c>
      <c r="B9" s="508" t="s">
        <v>114</v>
      </c>
      <c r="C9" s="509" t="s">
        <v>28</v>
      </c>
      <c r="D9" s="510">
        <f>(0.75*0.75*1.25)*10</f>
        <v>7.03125</v>
      </c>
      <c r="E9" s="511">
        <v>1500</v>
      </c>
      <c r="F9" s="524">
        <f t="shared" si="1"/>
        <v>10546.875</v>
      </c>
      <c r="G9" s="399"/>
      <c r="H9" s="367">
        <f>SUBTOTAL(9,H10:H13)</f>
        <v>50781.25</v>
      </c>
      <c r="I9" s="511">
        <v>11111.1</v>
      </c>
      <c r="J9" s="399">
        <f t="shared" si="0"/>
        <v>78124.921875</v>
      </c>
    </row>
    <row r="10" spans="1:12" ht="19.5" customHeight="1">
      <c r="A10" s="142"/>
      <c r="B10" s="513" t="s">
        <v>6</v>
      </c>
      <c r="C10" s="514"/>
      <c r="D10" s="519"/>
      <c r="E10" s="516"/>
      <c r="F10" s="517">
        <f t="shared" si="1"/>
        <v>0</v>
      </c>
      <c r="G10" s="400"/>
      <c r="H10" s="400">
        <f t="shared" si="2"/>
        <v>0</v>
      </c>
      <c r="I10" s="516"/>
      <c r="J10" s="400">
        <f t="shared" si="0"/>
        <v>0</v>
      </c>
    </row>
    <row r="11" spans="1:12" ht="19.5" customHeight="1">
      <c r="A11" s="142"/>
      <c r="B11" s="518" t="s">
        <v>92</v>
      </c>
      <c r="C11" s="514" t="s">
        <v>8</v>
      </c>
      <c r="D11" s="519">
        <f>D12/10</f>
        <v>0.78125</v>
      </c>
      <c r="E11" s="516">
        <v>1500</v>
      </c>
      <c r="F11" s="517">
        <f t="shared" si="1"/>
        <v>1171.875</v>
      </c>
      <c r="G11" s="400">
        <v>15000</v>
      </c>
      <c r="H11" s="400">
        <f t="shared" si="2"/>
        <v>11718.75</v>
      </c>
      <c r="I11" s="516">
        <v>10000</v>
      </c>
      <c r="J11" s="400">
        <f t="shared" si="0"/>
        <v>7812.5</v>
      </c>
    </row>
    <row r="12" spans="1:12" ht="19.5" customHeight="1">
      <c r="A12" s="142"/>
      <c r="B12" s="518" t="s">
        <v>7</v>
      </c>
      <c r="C12" s="514" t="s">
        <v>8</v>
      </c>
      <c r="D12" s="519">
        <f>D9/0.9</f>
        <v>7.8125</v>
      </c>
      <c r="E12" s="516">
        <v>1200</v>
      </c>
      <c r="F12" s="517">
        <f t="shared" si="1"/>
        <v>9375</v>
      </c>
      <c r="G12" s="400">
        <v>5000</v>
      </c>
      <c r="H12" s="400">
        <f t="shared" si="2"/>
        <v>39062.5</v>
      </c>
      <c r="I12" s="516">
        <v>9000</v>
      </c>
      <c r="J12" s="400">
        <f t="shared" si="0"/>
        <v>70312.5</v>
      </c>
    </row>
    <row r="13" spans="1:12" s="51" customFormat="1" ht="19.5" customHeight="1">
      <c r="A13" s="144"/>
      <c r="B13" s="520" t="s">
        <v>9</v>
      </c>
      <c r="C13" s="521"/>
      <c r="D13" s="525"/>
      <c r="E13" s="526"/>
      <c r="F13" s="517">
        <f t="shared" si="1"/>
        <v>0</v>
      </c>
      <c r="G13" s="401"/>
      <c r="H13" s="400">
        <f t="shared" si="2"/>
        <v>0</v>
      </c>
      <c r="I13" s="401"/>
      <c r="J13" s="400">
        <f t="shared" si="0"/>
        <v>0</v>
      </c>
    </row>
    <row r="14" spans="1:12" ht="19.5" customHeight="1">
      <c r="A14" s="145"/>
      <c r="B14" s="520"/>
      <c r="C14" s="527"/>
      <c r="D14" s="528"/>
      <c r="E14" s="529"/>
      <c r="F14" s="517">
        <f t="shared" si="1"/>
        <v>0</v>
      </c>
      <c r="G14" s="400"/>
      <c r="H14" s="400">
        <f t="shared" si="2"/>
        <v>0</v>
      </c>
      <c r="I14" s="400"/>
      <c r="J14" s="400">
        <f t="shared" si="0"/>
        <v>0</v>
      </c>
    </row>
    <row r="15" spans="1:12" ht="38.450000000000003" customHeight="1">
      <c r="A15" s="530">
        <v>2</v>
      </c>
      <c r="B15" s="531" t="s">
        <v>0</v>
      </c>
      <c r="C15" s="531"/>
      <c r="D15" s="531"/>
      <c r="E15" s="532"/>
      <c r="F15" s="517">
        <f t="shared" si="1"/>
        <v>0</v>
      </c>
      <c r="G15" s="400"/>
      <c r="H15" s="400">
        <f t="shared" si="2"/>
        <v>0</v>
      </c>
      <c r="I15" s="400"/>
      <c r="J15" s="400">
        <f t="shared" si="0"/>
        <v>0</v>
      </c>
    </row>
    <row r="16" spans="1:12" ht="19.5" customHeight="1">
      <c r="A16" s="147">
        <v>2.0099999999999998</v>
      </c>
      <c r="B16" s="533" t="s">
        <v>71</v>
      </c>
      <c r="C16" s="509" t="s">
        <v>1</v>
      </c>
      <c r="D16" s="510">
        <f>44*0.4</f>
        <v>17.600000000000001</v>
      </c>
      <c r="E16" s="512">
        <v>1191.6477272727273</v>
      </c>
      <c r="F16" s="524">
        <f t="shared" si="1"/>
        <v>20973</v>
      </c>
      <c r="G16" s="399"/>
      <c r="H16" s="367">
        <f>SUBTOTAL(9,H17:H22)</f>
        <v>22586.666666666672</v>
      </c>
      <c r="I16" s="511">
        <v>2000</v>
      </c>
      <c r="J16" s="399">
        <f t="shared" si="0"/>
        <v>35200</v>
      </c>
    </row>
    <row r="17" spans="1:10" ht="19.5" customHeight="1">
      <c r="A17" s="142"/>
      <c r="B17" s="513" t="s">
        <v>2</v>
      </c>
      <c r="C17" s="514"/>
      <c r="D17" s="519"/>
      <c r="E17" s="517"/>
      <c r="F17" s="517">
        <f t="shared" si="1"/>
        <v>0</v>
      </c>
      <c r="G17" s="400"/>
      <c r="H17" s="400">
        <f t="shared" si="2"/>
        <v>0</v>
      </c>
      <c r="I17" s="516"/>
      <c r="J17" s="400">
        <f t="shared" si="0"/>
        <v>0</v>
      </c>
    </row>
    <row r="18" spans="1:10" ht="19.5" customHeight="1">
      <c r="A18" s="142"/>
      <c r="B18" s="534" t="s">
        <v>3</v>
      </c>
      <c r="C18" s="514" t="s">
        <v>4</v>
      </c>
      <c r="D18" s="519">
        <f>D16/10</f>
        <v>1.7600000000000002</v>
      </c>
      <c r="E18" s="517">
        <v>10500</v>
      </c>
      <c r="F18" s="517">
        <f t="shared" si="1"/>
        <v>18480.000000000004</v>
      </c>
      <c r="G18" s="400">
        <v>12000</v>
      </c>
      <c r="H18" s="400">
        <f t="shared" si="2"/>
        <v>21120.000000000004</v>
      </c>
      <c r="I18" s="516">
        <v>18000</v>
      </c>
      <c r="J18" s="400">
        <f t="shared" si="0"/>
        <v>31680.000000000004</v>
      </c>
    </row>
    <row r="19" spans="1:10" ht="19.5" customHeight="1">
      <c r="A19" s="148"/>
      <c r="B19" s="520" t="s">
        <v>5</v>
      </c>
      <c r="C19" s="535"/>
      <c r="D19" s="536"/>
      <c r="E19" s="517"/>
      <c r="F19" s="517">
        <f t="shared" si="1"/>
        <v>0</v>
      </c>
      <c r="G19" s="400"/>
      <c r="H19" s="400">
        <f t="shared" si="2"/>
        <v>0</v>
      </c>
      <c r="I19" s="537"/>
      <c r="J19" s="400">
        <f t="shared" si="0"/>
        <v>0</v>
      </c>
    </row>
    <row r="20" spans="1:10" ht="19.5" customHeight="1">
      <c r="A20" s="142"/>
      <c r="B20" s="534"/>
      <c r="C20" s="514"/>
      <c r="D20" s="519"/>
      <c r="E20" s="517"/>
      <c r="F20" s="517">
        <f t="shared" si="1"/>
        <v>0</v>
      </c>
      <c r="G20" s="400"/>
      <c r="H20" s="400">
        <f t="shared" si="2"/>
        <v>0</v>
      </c>
      <c r="I20" s="516"/>
      <c r="J20" s="400">
        <f t="shared" si="0"/>
        <v>0</v>
      </c>
    </row>
    <row r="21" spans="1:10" ht="19.5" customHeight="1">
      <c r="A21" s="142"/>
      <c r="B21" s="513" t="s">
        <v>6</v>
      </c>
      <c r="C21" s="514"/>
      <c r="D21" s="519"/>
      <c r="E21" s="517"/>
      <c r="F21" s="517">
        <f t="shared" si="1"/>
        <v>0</v>
      </c>
      <c r="G21" s="400"/>
      <c r="H21" s="400">
        <f t="shared" si="2"/>
        <v>0</v>
      </c>
      <c r="I21" s="516"/>
      <c r="J21" s="400">
        <f t="shared" si="0"/>
        <v>0</v>
      </c>
    </row>
    <row r="22" spans="1:10" ht="19.5" customHeight="1">
      <c r="A22" s="142"/>
      <c r="B22" s="518" t="s">
        <v>7</v>
      </c>
      <c r="C22" s="514" t="s">
        <v>8</v>
      </c>
      <c r="D22" s="519">
        <f>D16/60</f>
        <v>0.29333333333333333</v>
      </c>
      <c r="E22" s="517">
        <v>8500</v>
      </c>
      <c r="F22" s="517">
        <f t="shared" si="1"/>
        <v>2493.3333333333335</v>
      </c>
      <c r="G22" s="400">
        <v>5000</v>
      </c>
      <c r="H22" s="400">
        <f t="shared" si="2"/>
        <v>1466.6666666666667</v>
      </c>
      <c r="I22" s="516">
        <v>12000</v>
      </c>
      <c r="J22" s="400">
        <f t="shared" si="0"/>
        <v>3520</v>
      </c>
    </row>
    <row r="23" spans="1:10" ht="19.5" customHeight="1">
      <c r="A23" s="144"/>
      <c r="B23" s="520" t="s">
        <v>9</v>
      </c>
      <c r="C23" s="521"/>
      <c r="D23" s="522"/>
      <c r="E23" s="517"/>
      <c r="F23" s="517">
        <f t="shared" si="1"/>
        <v>0</v>
      </c>
      <c r="G23" s="400"/>
      <c r="H23" s="400">
        <f t="shared" si="2"/>
        <v>0</v>
      </c>
      <c r="I23" s="523"/>
      <c r="J23" s="400">
        <f t="shared" si="0"/>
        <v>0</v>
      </c>
    </row>
    <row r="24" spans="1:10" ht="19.5" customHeight="1">
      <c r="A24" s="147">
        <v>2.02</v>
      </c>
      <c r="B24" s="533" t="s">
        <v>97</v>
      </c>
      <c r="C24" s="509" t="s">
        <v>1</v>
      </c>
      <c r="D24" s="510">
        <v>78</v>
      </c>
      <c r="E24" s="524">
        <v>1141.6666666666667</v>
      </c>
      <c r="F24" s="524">
        <f t="shared" si="1"/>
        <v>89050</v>
      </c>
      <c r="G24" s="399"/>
      <c r="H24" s="367">
        <f>SUBTOTAL(9,H25:H30)</f>
        <v>100100</v>
      </c>
      <c r="I24" s="511">
        <v>2000</v>
      </c>
      <c r="J24" s="399">
        <f t="shared" si="0"/>
        <v>156000</v>
      </c>
    </row>
    <row r="25" spans="1:10" ht="19.5" customHeight="1">
      <c r="A25" s="142"/>
      <c r="B25" s="513" t="s">
        <v>2</v>
      </c>
      <c r="C25" s="514"/>
      <c r="D25" s="519"/>
      <c r="E25" s="517"/>
      <c r="F25" s="517">
        <f t="shared" si="1"/>
        <v>0</v>
      </c>
      <c r="G25" s="400"/>
      <c r="H25" s="400">
        <f t="shared" si="2"/>
        <v>0</v>
      </c>
      <c r="I25" s="516"/>
      <c r="J25" s="400">
        <f t="shared" si="0"/>
        <v>0</v>
      </c>
    </row>
    <row r="26" spans="1:10" ht="19.5" customHeight="1">
      <c r="A26" s="142"/>
      <c r="B26" s="534" t="s">
        <v>3</v>
      </c>
      <c r="C26" s="514" t="s">
        <v>4</v>
      </c>
      <c r="D26" s="519">
        <f>D24/10</f>
        <v>7.8</v>
      </c>
      <c r="E26" s="517">
        <v>10500</v>
      </c>
      <c r="F26" s="517">
        <f t="shared" si="1"/>
        <v>81900</v>
      </c>
      <c r="G26" s="400">
        <v>12000</v>
      </c>
      <c r="H26" s="400">
        <f t="shared" si="2"/>
        <v>93600</v>
      </c>
      <c r="I26" s="516">
        <f>I18</f>
        <v>18000</v>
      </c>
      <c r="J26" s="400">
        <f t="shared" si="0"/>
        <v>140400</v>
      </c>
    </row>
    <row r="27" spans="1:10" ht="19.5" customHeight="1">
      <c r="A27" s="148"/>
      <c r="B27" s="520" t="s">
        <v>5</v>
      </c>
      <c r="C27" s="535"/>
      <c r="D27" s="536"/>
      <c r="E27" s="517"/>
      <c r="F27" s="517">
        <f t="shared" si="1"/>
        <v>0</v>
      </c>
      <c r="G27" s="400"/>
      <c r="H27" s="400">
        <f t="shared" si="2"/>
        <v>0</v>
      </c>
      <c r="I27" s="537"/>
      <c r="J27" s="400">
        <f t="shared" si="0"/>
        <v>0</v>
      </c>
    </row>
    <row r="28" spans="1:10" ht="19.5" customHeight="1">
      <c r="A28" s="142"/>
      <c r="B28" s="534"/>
      <c r="C28" s="514"/>
      <c r="D28" s="519"/>
      <c r="E28" s="517"/>
      <c r="F28" s="517">
        <f t="shared" si="1"/>
        <v>0</v>
      </c>
      <c r="G28" s="400"/>
      <c r="H28" s="400">
        <f t="shared" si="2"/>
        <v>0</v>
      </c>
      <c r="I28" s="516"/>
      <c r="J28" s="400">
        <f t="shared" si="0"/>
        <v>0</v>
      </c>
    </row>
    <row r="29" spans="1:10" ht="19.5" customHeight="1">
      <c r="A29" s="142"/>
      <c r="B29" s="513" t="s">
        <v>6</v>
      </c>
      <c r="C29" s="514"/>
      <c r="D29" s="519"/>
      <c r="E29" s="517"/>
      <c r="F29" s="517">
        <f t="shared" si="1"/>
        <v>0</v>
      </c>
      <c r="G29" s="400"/>
      <c r="H29" s="400">
        <f t="shared" si="2"/>
        <v>0</v>
      </c>
      <c r="I29" s="516"/>
      <c r="J29" s="400">
        <f t="shared" si="0"/>
        <v>0</v>
      </c>
    </row>
    <row r="30" spans="1:10" ht="19.5" customHeight="1">
      <c r="A30" s="142"/>
      <c r="B30" s="518" t="s">
        <v>7</v>
      </c>
      <c r="C30" s="514" t="s">
        <v>8</v>
      </c>
      <c r="D30" s="519">
        <f>D24/60</f>
        <v>1.3</v>
      </c>
      <c r="E30" s="517">
        <v>5500</v>
      </c>
      <c r="F30" s="517">
        <f t="shared" si="1"/>
        <v>7150</v>
      </c>
      <c r="G30" s="400">
        <v>5000</v>
      </c>
      <c r="H30" s="400">
        <f t="shared" si="2"/>
        <v>6500</v>
      </c>
      <c r="I30" s="516">
        <f>I22</f>
        <v>12000</v>
      </c>
      <c r="J30" s="400">
        <f t="shared" si="0"/>
        <v>15600</v>
      </c>
    </row>
    <row r="31" spans="1:10" ht="19.5" customHeight="1">
      <c r="A31" s="144"/>
      <c r="B31" s="520" t="s">
        <v>9</v>
      </c>
      <c r="C31" s="521"/>
      <c r="D31" s="522"/>
      <c r="E31" s="517"/>
      <c r="F31" s="517">
        <f t="shared" si="1"/>
        <v>0</v>
      </c>
      <c r="G31" s="400"/>
      <c r="H31" s="400">
        <f t="shared" si="2"/>
        <v>0</v>
      </c>
      <c r="I31" s="523"/>
      <c r="J31" s="400">
        <f t="shared" si="0"/>
        <v>0</v>
      </c>
    </row>
    <row r="32" spans="1:10" ht="26.1" customHeight="1">
      <c r="A32" s="141">
        <v>2.0299999999999998</v>
      </c>
      <c r="B32" s="508" t="s">
        <v>96</v>
      </c>
      <c r="C32" s="509" t="s">
        <v>1</v>
      </c>
      <c r="D32" s="510">
        <f>(0.75*0.75)*10</f>
        <v>5.625</v>
      </c>
      <c r="E32" s="524">
        <v>1141.6888888888889</v>
      </c>
      <c r="F32" s="524">
        <f t="shared" si="1"/>
        <v>6422</v>
      </c>
      <c r="G32" s="399"/>
      <c r="H32" s="367">
        <f>SUBTOTAL(9,H33:H38)</f>
        <v>7218.75</v>
      </c>
      <c r="I32" s="511">
        <v>2000</v>
      </c>
      <c r="J32" s="399">
        <f t="shared" si="0"/>
        <v>11250</v>
      </c>
    </row>
    <row r="33" spans="1:10" ht="19.5" customHeight="1">
      <c r="A33" s="142"/>
      <c r="B33" s="513" t="s">
        <v>2</v>
      </c>
      <c r="C33" s="514"/>
      <c r="D33" s="519"/>
      <c r="E33" s="517"/>
      <c r="F33" s="517">
        <f t="shared" si="1"/>
        <v>0</v>
      </c>
      <c r="G33" s="400"/>
      <c r="H33" s="400">
        <f t="shared" si="2"/>
        <v>0</v>
      </c>
      <c r="I33" s="516"/>
      <c r="J33" s="400">
        <f t="shared" si="0"/>
        <v>0</v>
      </c>
    </row>
    <row r="34" spans="1:10" ht="19.7" customHeight="1">
      <c r="A34" s="142"/>
      <c r="B34" s="534" t="s">
        <v>3</v>
      </c>
      <c r="C34" s="514" t="s">
        <v>4</v>
      </c>
      <c r="D34" s="519">
        <f>D32/10</f>
        <v>0.5625</v>
      </c>
      <c r="E34" s="517">
        <v>10500</v>
      </c>
      <c r="F34" s="517">
        <f t="shared" si="1"/>
        <v>5906.25</v>
      </c>
      <c r="G34" s="400">
        <v>12000</v>
      </c>
      <c r="H34" s="400">
        <f t="shared" si="2"/>
        <v>6750</v>
      </c>
      <c r="I34" s="516">
        <f>I26</f>
        <v>18000</v>
      </c>
      <c r="J34" s="400">
        <f t="shared" si="0"/>
        <v>10125</v>
      </c>
    </row>
    <row r="35" spans="1:10" ht="19.5" customHeight="1">
      <c r="A35" s="148"/>
      <c r="B35" s="520" t="s">
        <v>5</v>
      </c>
      <c r="C35" s="535"/>
      <c r="D35" s="536"/>
      <c r="E35" s="517"/>
      <c r="F35" s="517">
        <f t="shared" si="1"/>
        <v>0</v>
      </c>
      <c r="G35" s="400"/>
      <c r="H35" s="400">
        <f t="shared" si="2"/>
        <v>0</v>
      </c>
      <c r="I35" s="537"/>
      <c r="J35" s="400">
        <f t="shared" si="0"/>
        <v>0</v>
      </c>
    </row>
    <row r="36" spans="1:10" ht="19.5" customHeight="1">
      <c r="A36" s="148"/>
      <c r="B36" s="520"/>
      <c r="C36" s="535"/>
      <c r="D36" s="536"/>
      <c r="E36" s="517"/>
      <c r="F36" s="517">
        <f t="shared" si="1"/>
        <v>0</v>
      </c>
      <c r="G36" s="400"/>
      <c r="H36" s="400">
        <f t="shared" si="2"/>
        <v>0</v>
      </c>
      <c r="I36" s="537"/>
      <c r="J36" s="400">
        <f t="shared" si="0"/>
        <v>0</v>
      </c>
    </row>
    <row r="37" spans="1:10" ht="19.5" customHeight="1">
      <c r="A37" s="142"/>
      <c r="B37" s="513" t="s">
        <v>6</v>
      </c>
      <c r="C37" s="514"/>
      <c r="D37" s="519"/>
      <c r="E37" s="517"/>
      <c r="F37" s="517">
        <f t="shared" si="1"/>
        <v>0</v>
      </c>
      <c r="G37" s="400"/>
      <c r="H37" s="400">
        <f t="shared" si="2"/>
        <v>0</v>
      </c>
      <c r="I37" s="516"/>
      <c r="J37" s="400">
        <f t="shared" si="0"/>
        <v>0</v>
      </c>
    </row>
    <row r="38" spans="1:10" ht="19.5" customHeight="1">
      <c r="A38" s="142"/>
      <c r="B38" s="518" t="s">
        <v>7</v>
      </c>
      <c r="C38" s="514" t="s">
        <v>8</v>
      </c>
      <c r="D38" s="519">
        <f>D32/60</f>
        <v>9.375E-2</v>
      </c>
      <c r="E38" s="517">
        <v>5500</v>
      </c>
      <c r="F38" s="517">
        <f t="shared" si="1"/>
        <v>515.625</v>
      </c>
      <c r="G38" s="400">
        <v>5000</v>
      </c>
      <c r="H38" s="400">
        <f t="shared" si="2"/>
        <v>468.75</v>
      </c>
      <c r="I38" s="516">
        <f>I30</f>
        <v>12000</v>
      </c>
      <c r="J38" s="400">
        <f t="shared" si="0"/>
        <v>1125</v>
      </c>
    </row>
    <row r="39" spans="1:10" ht="19.5" customHeight="1">
      <c r="A39" s="144"/>
      <c r="B39" s="520" t="s">
        <v>9</v>
      </c>
      <c r="C39" s="521"/>
      <c r="D39" s="522"/>
      <c r="E39" s="526"/>
      <c r="F39" s="517">
        <f t="shared" si="1"/>
        <v>0</v>
      </c>
      <c r="G39" s="400"/>
      <c r="H39" s="400">
        <f t="shared" si="2"/>
        <v>0</v>
      </c>
      <c r="I39" s="523"/>
      <c r="J39" s="400">
        <f t="shared" si="0"/>
        <v>0</v>
      </c>
    </row>
    <row r="40" spans="1:10" ht="19.5" customHeight="1">
      <c r="A40" s="144"/>
      <c r="B40" s="520"/>
      <c r="C40" s="521"/>
      <c r="D40" s="525"/>
      <c r="E40" s="526"/>
      <c r="F40" s="517">
        <f t="shared" si="1"/>
        <v>0</v>
      </c>
      <c r="G40" s="400"/>
      <c r="H40" s="400">
        <f t="shared" si="2"/>
        <v>0</v>
      </c>
      <c r="I40" s="523"/>
      <c r="J40" s="400">
        <f t="shared" si="0"/>
        <v>0</v>
      </c>
    </row>
    <row r="41" spans="1:10" ht="19.5" customHeight="1">
      <c r="A41" s="538">
        <v>3</v>
      </c>
      <c r="B41" s="539" t="s">
        <v>77</v>
      </c>
      <c r="C41" s="539"/>
      <c r="D41" s="539"/>
      <c r="E41" s="540"/>
      <c r="F41" s="517">
        <f t="shared" si="1"/>
        <v>0</v>
      </c>
      <c r="G41" s="400"/>
      <c r="H41" s="400">
        <f t="shared" si="2"/>
        <v>0</v>
      </c>
      <c r="I41" s="400"/>
      <c r="J41" s="400">
        <f t="shared" si="0"/>
        <v>0</v>
      </c>
    </row>
    <row r="42" spans="1:10" ht="19.5" customHeight="1">
      <c r="A42" s="141">
        <v>3.01</v>
      </c>
      <c r="B42" s="508" t="s">
        <v>71</v>
      </c>
      <c r="C42" s="509" t="s">
        <v>1</v>
      </c>
      <c r="D42" s="510">
        <f>44*0.4</f>
        <v>17.600000000000001</v>
      </c>
      <c r="E42" s="512">
        <v>4982.0405128205139</v>
      </c>
      <c r="F42" s="524">
        <f t="shared" si="1"/>
        <v>87683.913025641057</v>
      </c>
      <c r="G42" s="399"/>
      <c r="H42" s="367">
        <f>SUBTOTAL(9,H43:H58)</f>
        <v>110868.98871794871</v>
      </c>
      <c r="I42" s="399">
        <v>9006.9864575121865</v>
      </c>
      <c r="J42" s="399">
        <f t="shared" si="0"/>
        <v>158522.96165221449</v>
      </c>
    </row>
    <row r="43" spans="1:10" ht="19.5" customHeight="1">
      <c r="A43" s="150"/>
      <c r="B43" s="541"/>
      <c r="C43" s="542" t="s">
        <v>10</v>
      </c>
      <c r="D43" s="543">
        <f>D42*0.05</f>
        <v>0.88000000000000012</v>
      </c>
      <c r="E43" s="544"/>
      <c r="F43" s="517">
        <f t="shared" si="1"/>
        <v>0</v>
      </c>
      <c r="G43" s="400"/>
      <c r="H43" s="400">
        <f t="shared" si="2"/>
        <v>0</v>
      </c>
      <c r="I43" s="400">
        <v>180139.72915024371</v>
      </c>
      <c r="J43" s="400">
        <f t="shared" si="0"/>
        <v>158522.96165221449</v>
      </c>
    </row>
    <row r="44" spans="1:10" ht="19.5" customHeight="1">
      <c r="A44" s="151"/>
      <c r="B44" s="545" t="s">
        <v>2</v>
      </c>
      <c r="C44" s="546"/>
      <c r="D44" s="519"/>
      <c r="E44" s="547"/>
      <c r="F44" s="517">
        <f t="shared" si="1"/>
        <v>0</v>
      </c>
      <c r="G44" s="400"/>
      <c r="H44" s="400">
        <f t="shared" si="2"/>
        <v>0</v>
      </c>
      <c r="I44" s="400"/>
      <c r="J44" s="400">
        <f t="shared" si="0"/>
        <v>0</v>
      </c>
    </row>
    <row r="45" spans="1:10" ht="19.5" customHeight="1">
      <c r="A45" s="151"/>
      <c r="B45" s="548" t="s">
        <v>11</v>
      </c>
      <c r="C45" s="546" t="s">
        <v>12</v>
      </c>
      <c r="D45" s="519">
        <f>D43*(1/13)*1.57*(1440/50)</f>
        <v>3.0607753846153853</v>
      </c>
      <c r="E45" s="547">
        <v>11200</v>
      </c>
      <c r="F45" s="517">
        <f t="shared" si="1"/>
        <v>34280.684307692318</v>
      </c>
      <c r="G45" s="400">
        <v>14000</v>
      </c>
      <c r="H45" s="400">
        <f t="shared" si="2"/>
        <v>42850.855384615395</v>
      </c>
      <c r="I45" s="400">
        <v>13500</v>
      </c>
      <c r="J45" s="400">
        <f t="shared" si="0"/>
        <v>41320.467692307699</v>
      </c>
    </row>
    <row r="46" spans="1:10" ht="19.5" customHeight="1">
      <c r="A46" s="151"/>
      <c r="B46" s="548" t="s">
        <v>13</v>
      </c>
      <c r="C46" s="546" t="s">
        <v>10</v>
      </c>
      <c r="D46" s="519">
        <f>D43*(4/13)*1.57</f>
        <v>0.42510769230769241</v>
      </c>
      <c r="E46" s="547">
        <v>30500</v>
      </c>
      <c r="F46" s="517">
        <f t="shared" si="1"/>
        <v>12965.784615384619</v>
      </c>
      <c r="G46" s="400">
        <v>27000</v>
      </c>
      <c r="H46" s="400">
        <f t="shared" si="2"/>
        <v>11477.907692307695</v>
      </c>
      <c r="I46" s="400">
        <v>40000</v>
      </c>
      <c r="J46" s="400">
        <f t="shared" si="0"/>
        <v>17004.307692307695</v>
      </c>
    </row>
    <row r="47" spans="1:10" ht="19.5" customHeight="1">
      <c r="A47" s="151"/>
      <c r="B47" s="548" t="s">
        <v>14</v>
      </c>
      <c r="C47" s="546" t="s">
        <v>10</v>
      </c>
      <c r="D47" s="519">
        <f>D43*(8/13)*1.57</f>
        <v>0.85021538461538482</v>
      </c>
      <c r="E47" s="547">
        <v>42300</v>
      </c>
      <c r="F47" s="517">
        <f t="shared" si="1"/>
        <v>35964.110769230778</v>
      </c>
      <c r="G47" s="400">
        <v>32000</v>
      </c>
      <c r="H47" s="400">
        <f t="shared" si="2"/>
        <v>27206.892307692313</v>
      </c>
      <c r="I47" s="400">
        <v>48312</v>
      </c>
      <c r="J47" s="400">
        <f t="shared" si="0"/>
        <v>41075.605661538473</v>
      </c>
    </row>
    <row r="48" spans="1:10" ht="19.5" customHeight="1">
      <c r="A48" s="151"/>
      <c r="B48" s="548" t="s">
        <v>15</v>
      </c>
      <c r="C48" s="546" t="s">
        <v>16</v>
      </c>
      <c r="D48" s="519">
        <f>D52*10</f>
        <v>1.466666666666667</v>
      </c>
      <c r="E48" s="547">
        <v>100</v>
      </c>
      <c r="F48" s="517">
        <f t="shared" si="1"/>
        <v>146.66666666666671</v>
      </c>
      <c r="G48" s="400">
        <v>2000</v>
      </c>
      <c r="H48" s="400">
        <f t="shared" si="2"/>
        <v>2933.3333333333339</v>
      </c>
      <c r="I48" s="400">
        <v>2000</v>
      </c>
      <c r="J48" s="400">
        <f t="shared" si="0"/>
        <v>2933.3333333333339</v>
      </c>
    </row>
    <row r="49" spans="1:10" ht="19.5" customHeight="1">
      <c r="A49" s="152"/>
      <c r="B49" s="545" t="s">
        <v>18</v>
      </c>
      <c r="C49" s="549"/>
      <c r="D49" s="536"/>
      <c r="E49" s="547"/>
      <c r="F49" s="517">
        <f t="shared" si="1"/>
        <v>0</v>
      </c>
      <c r="G49" s="400"/>
      <c r="H49" s="400">
        <f t="shared" si="2"/>
        <v>0</v>
      </c>
      <c r="I49" s="400"/>
      <c r="J49" s="400">
        <f t="shared" si="0"/>
        <v>0</v>
      </c>
    </row>
    <row r="50" spans="1:10" ht="19.5" customHeight="1">
      <c r="A50" s="151"/>
      <c r="B50" s="548"/>
      <c r="C50" s="546"/>
      <c r="D50" s="519"/>
      <c r="E50" s="547"/>
      <c r="F50" s="517">
        <f t="shared" si="1"/>
        <v>0</v>
      </c>
      <c r="G50" s="400"/>
      <c r="H50" s="400">
        <f t="shared" si="2"/>
        <v>0</v>
      </c>
      <c r="I50" s="400"/>
      <c r="J50" s="400">
        <f t="shared" si="0"/>
        <v>0</v>
      </c>
    </row>
    <row r="51" spans="1:10" ht="19.5" customHeight="1">
      <c r="A51" s="151"/>
      <c r="B51" s="545" t="s">
        <v>19</v>
      </c>
      <c r="C51" s="546"/>
      <c r="D51" s="519"/>
      <c r="E51" s="547"/>
      <c r="F51" s="517">
        <f t="shared" si="1"/>
        <v>0</v>
      </c>
      <c r="G51" s="400"/>
      <c r="H51" s="400">
        <f t="shared" si="2"/>
        <v>0</v>
      </c>
      <c r="I51" s="400"/>
      <c r="J51" s="400">
        <f t="shared" si="0"/>
        <v>0</v>
      </c>
    </row>
    <row r="52" spans="1:10" ht="19.5" customHeight="1">
      <c r="A52" s="151"/>
      <c r="B52" s="548" t="s">
        <v>20</v>
      </c>
      <c r="C52" s="546" t="s">
        <v>21</v>
      </c>
      <c r="D52" s="519">
        <f>D43/6</f>
        <v>0.1466666666666667</v>
      </c>
      <c r="E52" s="547">
        <v>1500</v>
      </c>
      <c r="F52" s="517">
        <f t="shared" si="1"/>
        <v>220.00000000000006</v>
      </c>
      <c r="G52" s="400">
        <v>50000</v>
      </c>
      <c r="H52" s="400">
        <f t="shared" si="2"/>
        <v>7333.3333333333348</v>
      </c>
      <c r="I52" s="400">
        <v>80000</v>
      </c>
      <c r="J52" s="400">
        <f t="shared" si="0"/>
        <v>11733.333333333336</v>
      </c>
    </row>
    <row r="53" spans="1:10" ht="19.5" customHeight="1">
      <c r="A53" s="152"/>
      <c r="B53" s="545" t="s">
        <v>23</v>
      </c>
      <c r="C53" s="549"/>
      <c r="D53" s="536"/>
      <c r="E53" s="547"/>
      <c r="F53" s="517">
        <f t="shared" si="1"/>
        <v>0</v>
      </c>
      <c r="G53" s="400"/>
      <c r="H53" s="400">
        <f t="shared" si="2"/>
        <v>0</v>
      </c>
      <c r="I53" s="400"/>
      <c r="J53" s="400">
        <f t="shared" si="0"/>
        <v>0</v>
      </c>
    </row>
    <row r="54" spans="1:10" ht="19.5" customHeight="1">
      <c r="A54" s="151"/>
      <c r="B54" s="548"/>
      <c r="C54" s="546"/>
      <c r="D54" s="519"/>
      <c r="E54" s="547"/>
      <c r="F54" s="517">
        <f t="shared" si="1"/>
        <v>0</v>
      </c>
      <c r="G54" s="400"/>
      <c r="H54" s="400">
        <f t="shared" si="2"/>
        <v>0</v>
      </c>
      <c r="I54" s="400"/>
      <c r="J54" s="400">
        <f t="shared" si="0"/>
        <v>0</v>
      </c>
    </row>
    <row r="55" spans="1:10" ht="19.5" customHeight="1">
      <c r="A55" s="151"/>
      <c r="B55" s="545" t="s">
        <v>6</v>
      </c>
      <c r="C55" s="546"/>
      <c r="D55" s="519"/>
      <c r="E55" s="547"/>
      <c r="F55" s="517">
        <f t="shared" si="1"/>
        <v>0</v>
      </c>
      <c r="G55" s="400"/>
      <c r="H55" s="400">
        <f t="shared" si="2"/>
        <v>0</v>
      </c>
      <c r="I55" s="400"/>
      <c r="J55" s="400">
        <f t="shared" si="0"/>
        <v>0</v>
      </c>
    </row>
    <row r="56" spans="1:10" ht="19.5" customHeight="1">
      <c r="A56" s="151"/>
      <c r="B56" s="548" t="s">
        <v>24</v>
      </c>
      <c r="C56" s="546" t="s">
        <v>21</v>
      </c>
      <c r="D56" s="519">
        <f>(D43/6)*2</f>
        <v>0.29333333333333339</v>
      </c>
      <c r="E56" s="547">
        <v>4000</v>
      </c>
      <c r="F56" s="517">
        <f t="shared" si="1"/>
        <v>1173.3333333333335</v>
      </c>
      <c r="G56" s="400">
        <v>10000</v>
      </c>
      <c r="H56" s="400">
        <f t="shared" si="2"/>
        <v>2933.3333333333339</v>
      </c>
      <c r="I56" s="400">
        <v>40909</v>
      </c>
      <c r="J56" s="400">
        <f t="shared" si="0"/>
        <v>11999.973333333335</v>
      </c>
    </row>
    <row r="57" spans="1:10" ht="19.5" customHeight="1">
      <c r="A57" s="151"/>
      <c r="B57" s="548" t="s">
        <v>25</v>
      </c>
      <c r="C57" s="546" t="s">
        <v>21</v>
      </c>
      <c r="D57" s="519">
        <f>(D43/6)*18</f>
        <v>2.6400000000000006</v>
      </c>
      <c r="E57" s="547">
        <v>1000</v>
      </c>
      <c r="F57" s="517">
        <f t="shared" si="1"/>
        <v>2640.0000000000005</v>
      </c>
      <c r="G57" s="400">
        <v>5000</v>
      </c>
      <c r="H57" s="400">
        <f t="shared" si="2"/>
        <v>13200.000000000004</v>
      </c>
      <c r="I57" s="400">
        <v>7954.5</v>
      </c>
      <c r="J57" s="400">
        <f t="shared" si="0"/>
        <v>20999.880000000005</v>
      </c>
    </row>
    <row r="58" spans="1:10" ht="19.5" customHeight="1">
      <c r="A58" s="151"/>
      <c r="B58" s="548" t="s">
        <v>26</v>
      </c>
      <c r="C58" s="546" t="s">
        <v>21</v>
      </c>
      <c r="D58" s="519">
        <f>D52</f>
        <v>0.1466666666666667</v>
      </c>
      <c r="E58" s="547">
        <v>2000</v>
      </c>
      <c r="F58" s="517">
        <f t="shared" si="1"/>
        <v>293.33333333333337</v>
      </c>
      <c r="G58" s="400">
        <v>20000</v>
      </c>
      <c r="H58" s="400">
        <f t="shared" si="2"/>
        <v>2933.3333333333339</v>
      </c>
      <c r="I58" s="400">
        <v>20000</v>
      </c>
      <c r="J58" s="400">
        <f t="shared" si="0"/>
        <v>2933.3333333333339</v>
      </c>
    </row>
    <row r="59" spans="1:10" ht="19.5" customHeight="1">
      <c r="A59" s="152"/>
      <c r="B59" s="545" t="s">
        <v>27</v>
      </c>
      <c r="C59" s="549"/>
      <c r="D59" s="536"/>
      <c r="E59" s="547"/>
      <c r="F59" s="517">
        <f t="shared" si="1"/>
        <v>0</v>
      </c>
      <c r="G59" s="400"/>
      <c r="H59" s="400">
        <f t="shared" si="2"/>
        <v>0</v>
      </c>
      <c r="I59" s="400"/>
      <c r="J59" s="400">
        <f t="shared" si="0"/>
        <v>0</v>
      </c>
    </row>
    <row r="60" spans="1:10" ht="19.5" customHeight="1">
      <c r="A60" s="141">
        <v>3.02</v>
      </c>
      <c r="B60" s="508" t="s">
        <v>98</v>
      </c>
      <c r="C60" s="509" t="s">
        <v>1</v>
      </c>
      <c r="D60" s="510">
        <f>(0.75*0.75)*10</f>
        <v>5.625</v>
      </c>
      <c r="E60" s="550">
        <v>5019.540512820513</v>
      </c>
      <c r="F60" s="524">
        <f t="shared" si="1"/>
        <v>28234.915384615386</v>
      </c>
      <c r="G60" s="399"/>
      <c r="H60" s="367">
        <f>SUBTOTAL(9,H61:H76)</f>
        <v>35433.980769230766</v>
      </c>
      <c r="I60" s="399">
        <v>8522.7000000000007</v>
      </c>
      <c r="J60" s="399">
        <f t="shared" si="0"/>
        <v>47940.187500000007</v>
      </c>
    </row>
    <row r="61" spans="1:10" ht="19.5" customHeight="1">
      <c r="A61" s="150"/>
      <c r="B61" s="541"/>
      <c r="C61" s="542" t="s">
        <v>10</v>
      </c>
      <c r="D61" s="543">
        <f>D60*0.05</f>
        <v>0.28125</v>
      </c>
      <c r="E61" s="547">
        <v>100390.81025641026</v>
      </c>
      <c r="F61" s="517">
        <f t="shared" si="1"/>
        <v>28234.915384615386</v>
      </c>
      <c r="G61" s="400"/>
      <c r="H61" s="400">
        <f t="shared" si="2"/>
        <v>0</v>
      </c>
      <c r="I61" s="400">
        <v>170454.81179487181</v>
      </c>
      <c r="J61" s="400">
        <f t="shared" si="0"/>
        <v>47940.415817307701</v>
      </c>
    </row>
    <row r="62" spans="1:10" ht="19.5" customHeight="1">
      <c r="A62" s="151"/>
      <c r="B62" s="545" t="s">
        <v>2</v>
      </c>
      <c r="C62" s="546"/>
      <c r="D62" s="519"/>
      <c r="E62" s="547"/>
      <c r="F62" s="517">
        <f t="shared" si="1"/>
        <v>0</v>
      </c>
      <c r="G62" s="400"/>
      <c r="H62" s="400">
        <f t="shared" si="2"/>
        <v>0</v>
      </c>
      <c r="I62" s="400"/>
      <c r="J62" s="400">
        <f t="shared" si="0"/>
        <v>0</v>
      </c>
    </row>
    <row r="63" spans="1:10" ht="19.5" customHeight="1">
      <c r="A63" s="151"/>
      <c r="B63" s="548" t="s">
        <v>11</v>
      </c>
      <c r="C63" s="546" t="s">
        <v>12</v>
      </c>
      <c r="D63" s="519">
        <f>D61*(1/13)*1.57*(1440/50)</f>
        <v>0.97823076923076924</v>
      </c>
      <c r="E63" s="547">
        <v>11200</v>
      </c>
      <c r="F63" s="517">
        <f t="shared" si="1"/>
        <v>10956.184615384616</v>
      </c>
      <c r="G63" s="400">
        <v>14000</v>
      </c>
      <c r="H63" s="400">
        <f t="shared" si="2"/>
        <v>13695.23076923077</v>
      </c>
      <c r="I63" s="400">
        <v>13500</v>
      </c>
      <c r="J63" s="400">
        <f t="shared" si="0"/>
        <v>13206.115384615385</v>
      </c>
    </row>
    <row r="64" spans="1:10" ht="19.5" customHeight="1">
      <c r="A64" s="151"/>
      <c r="B64" s="548" t="s">
        <v>13</v>
      </c>
      <c r="C64" s="546" t="s">
        <v>10</v>
      </c>
      <c r="D64" s="519">
        <f>D61*(4/13)*1.57</f>
        <v>0.13586538461538461</v>
      </c>
      <c r="E64" s="547">
        <v>30500</v>
      </c>
      <c r="F64" s="517">
        <f t="shared" si="1"/>
        <v>4143.8942307692305</v>
      </c>
      <c r="G64" s="400">
        <v>27000</v>
      </c>
      <c r="H64" s="400">
        <f t="shared" si="2"/>
        <v>3668.3653846153843</v>
      </c>
      <c r="I64" s="400">
        <v>40000</v>
      </c>
      <c r="J64" s="400">
        <f t="shared" si="0"/>
        <v>5434.6153846153848</v>
      </c>
    </row>
    <row r="65" spans="1:10" ht="19.5" customHeight="1">
      <c r="A65" s="151"/>
      <c r="B65" s="548" t="s">
        <v>14</v>
      </c>
      <c r="C65" s="546" t="s">
        <v>10</v>
      </c>
      <c r="D65" s="519">
        <f>D61*(8/13)*1.57</f>
        <v>0.27173076923076922</v>
      </c>
      <c r="E65" s="547">
        <v>42300</v>
      </c>
      <c r="F65" s="517">
        <f t="shared" si="1"/>
        <v>11494.211538461537</v>
      </c>
      <c r="G65" s="400">
        <v>32000</v>
      </c>
      <c r="H65" s="400">
        <f t="shared" si="2"/>
        <v>8695.3846153846152</v>
      </c>
      <c r="I65" s="400">
        <v>48312</v>
      </c>
      <c r="J65" s="400">
        <f t="shared" si="0"/>
        <v>13127.856923076923</v>
      </c>
    </row>
    <row r="66" spans="1:10" ht="19.5" customHeight="1">
      <c r="A66" s="151"/>
      <c r="B66" s="548" t="s">
        <v>15</v>
      </c>
      <c r="C66" s="546" t="s">
        <v>16</v>
      </c>
      <c r="D66" s="519">
        <f>D70*10</f>
        <v>0.46875</v>
      </c>
      <c r="E66" s="547">
        <v>200</v>
      </c>
      <c r="F66" s="517">
        <f t="shared" si="1"/>
        <v>93.75</v>
      </c>
      <c r="G66" s="400">
        <v>2000</v>
      </c>
      <c r="H66" s="400">
        <f t="shared" si="2"/>
        <v>937.5</v>
      </c>
      <c r="I66" s="400">
        <v>2000</v>
      </c>
      <c r="J66" s="400">
        <f t="shared" si="0"/>
        <v>937.5</v>
      </c>
    </row>
    <row r="67" spans="1:10" ht="19.5" customHeight="1">
      <c r="A67" s="152"/>
      <c r="B67" s="545" t="s">
        <v>18</v>
      </c>
      <c r="C67" s="549"/>
      <c r="D67" s="536"/>
      <c r="E67" s="547"/>
      <c r="F67" s="517">
        <f t="shared" si="1"/>
        <v>0</v>
      </c>
      <c r="G67" s="400"/>
      <c r="H67" s="400">
        <f t="shared" si="2"/>
        <v>0</v>
      </c>
      <c r="I67" s="400"/>
      <c r="J67" s="400">
        <f t="shared" si="0"/>
        <v>0</v>
      </c>
    </row>
    <row r="68" spans="1:10" ht="19.5" customHeight="1">
      <c r="A68" s="151"/>
      <c r="B68" s="548"/>
      <c r="C68" s="546"/>
      <c r="D68" s="519"/>
      <c r="E68" s="547"/>
      <c r="F68" s="517">
        <f t="shared" si="1"/>
        <v>0</v>
      </c>
      <c r="G68" s="400"/>
      <c r="H68" s="400">
        <f t="shared" si="2"/>
        <v>0</v>
      </c>
      <c r="I68" s="400"/>
      <c r="J68" s="400">
        <f t="shared" si="0"/>
        <v>0</v>
      </c>
    </row>
    <row r="69" spans="1:10" ht="19.5" customHeight="1">
      <c r="A69" s="151"/>
      <c r="B69" s="545" t="s">
        <v>19</v>
      </c>
      <c r="C69" s="546"/>
      <c r="D69" s="519"/>
      <c r="E69" s="547"/>
      <c r="F69" s="517">
        <f t="shared" si="1"/>
        <v>0</v>
      </c>
      <c r="G69" s="400"/>
      <c r="H69" s="400">
        <f t="shared" si="2"/>
        <v>0</v>
      </c>
      <c r="I69" s="400"/>
      <c r="J69" s="400">
        <f t="shared" ref="J69:J132" si="3">D69*I69</f>
        <v>0</v>
      </c>
    </row>
    <row r="70" spans="1:10" ht="19.5" customHeight="1">
      <c r="A70" s="151"/>
      <c r="B70" s="548" t="s">
        <v>20</v>
      </c>
      <c r="C70" s="546" t="s">
        <v>21</v>
      </c>
      <c r="D70" s="519">
        <f>D61/6</f>
        <v>4.6875E-2</v>
      </c>
      <c r="E70" s="547">
        <v>5000</v>
      </c>
      <c r="F70" s="517">
        <f t="shared" si="1"/>
        <v>234.375</v>
      </c>
      <c r="G70" s="400">
        <v>50000</v>
      </c>
      <c r="H70" s="400">
        <f t="shared" si="2"/>
        <v>2343.75</v>
      </c>
      <c r="I70" s="400">
        <v>80000</v>
      </c>
      <c r="J70" s="400">
        <f t="shared" si="3"/>
        <v>3750</v>
      </c>
    </row>
    <row r="71" spans="1:10" ht="19.5" customHeight="1">
      <c r="A71" s="152"/>
      <c r="B71" s="545" t="s">
        <v>23</v>
      </c>
      <c r="C71" s="549"/>
      <c r="D71" s="536"/>
      <c r="E71" s="547"/>
      <c r="F71" s="517">
        <f t="shared" si="1"/>
        <v>0</v>
      </c>
      <c r="G71" s="400"/>
      <c r="H71" s="400">
        <f t="shared" si="2"/>
        <v>0</v>
      </c>
      <c r="I71" s="400"/>
      <c r="J71" s="400">
        <f t="shared" si="3"/>
        <v>0</v>
      </c>
    </row>
    <row r="72" spans="1:10" ht="19.5" customHeight="1">
      <c r="A72" s="151"/>
      <c r="B72" s="548"/>
      <c r="C72" s="546"/>
      <c r="D72" s="519"/>
      <c r="E72" s="547"/>
      <c r="F72" s="517">
        <f t="shared" ref="F72:F135" si="4">D72*E72</f>
        <v>0</v>
      </c>
      <c r="G72" s="400"/>
      <c r="H72" s="400">
        <f t="shared" ref="H72:H135" si="5">D72*G72</f>
        <v>0</v>
      </c>
      <c r="I72" s="400"/>
      <c r="J72" s="400">
        <f t="shared" si="3"/>
        <v>0</v>
      </c>
    </row>
    <row r="73" spans="1:10" ht="19.5" customHeight="1">
      <c r="A73" s="151"/>
      <c r="B73" s="545" t="s">
        <v>6</v>
      </c>
      <c r="C73" s="546"/>
      <c r="D73" s="519"/>
      <c r="E73" s="547"/>
      <c r="F73" s="517">
        <f t="shared" si="4"/>
        <v>0</v>
      </c>
      <c r="G73" s="400"/>
      <c r="H73" s="400">
        <f t="shared" si="5"/>
        <v>0</v>
      </c>
      <c r="I73" s="400"/>
      <c r="J73" s="400">
        <f t="shared" si="3"/>
        <v>0</v>
      </c>
    </row>
    <row r="74" spans="1:10" ht="19.5" customHeight="1">
      <c r="A74" s="151"/>
      <c r="B74" s="548" t="s">
        <v>24</v>
      </c>
      <c r="C74" s="546" t="s">
        <v>21</v>
      </c>
      <c r="D74" s="519">
        <f>(D61/6)*2</f>
        <v>9.375E-2</v>
      </c>
      <c r="E74" s="547">
        <v>4000</v>
      </c>
      <c r="F74" s="517">
        <f t="shared" si="4"/>
        <v>375</v>
      </c>
      <c r="G74" s="400">
        <v>10000</v>
      </c>
      <c r="H74" s="400">
        <f t="shared" si="5"/>
        <v>937.5</v>
      </c>
      <c r="I74" s="400">
        <v>40909</v>
      </c>
      <c r="J74" s="400">
        <f t="shared" si="3"/>
        <v>3835.21875</v>
      </c>
    </row>
    <row r="75" spans="1:10" ht="19.5" customHeight="1">
      <c r="A75" s="151"/>
      <c r="B75" s="548" t="s">
        <v>25</v>
      </c>
      <c r="C75" s="546" t="s">
        <v>21</v>
      </c>
      <c r="D75" s="519">
        <f>(D61/6)*18</f>
        <v>0.84375</v>
      </c>
      <c r="E75" s="547">
        <v>1000</v>
      </c>
      <c r="F75" s="517">
        <f t="shared" si="4"/>
        <v>843.75</v>
      </c>
      <c r="G75" s="400">
        <v>5000</v>
      </c>
      <c r="H75" s="400">
        <f t="shared" si="5"/>
        <v>4218.75</v>
      </c>
      <c r="I75" s="400">
        <v>7954.5</v>
      </c>
      <c r="J75" s="400">
        <f t="shared" si="3"/>
        <v>6711.609375</v>
      </c>
    </row>
    <row r="76" spans="1:10" ht="19.5" customHeight="1">
      <c r="A76" s="151"/>
      <c r="B76" s="548" t="s">
        <v>26</v>
      </c>
      <c r="C76" s="546" t="s">
        <v>21</v>
      </c>
      <c r="D76" s="519">
        <f>D70</f>
        <v>4.6875E-2</v>
      </c>
      <c r="E76" s="547">
        <v>2000</v>
      </c>
      <c r="F76" s="517">
        <f t="shared" si="4"/>
        <v>93.75</v>
      </c>
      <c r="G76" s="400">
        <v>20000</v>
      </c>
      <c r="H76" s="400">
        <f t="shared" si="5"/>
        <v>937.5</v>
      </c>
      <c r="I76" s="400">
        <v>20000</v>
      </c>
      <c r="J76" s="400">
        <f t="shared" si="3"/>
        <v>937.5</v>
      </c>
    </row>
    <row r="77" spans="1:10" ht="19.5" customHeight="1">
      <c r="A77" s="152"/>
      <c r="B77" s="545" t="s">
        <v>27</v>
      </c>
      <c r="C77" s="549"/>
      <c r="D77" s="536"/>
      <c r="E77" s="547"/>
      <c r="F77" s="517">
        <f t="shared" si="4"/>
        <v>0</v>
      </c>
      <c r="G77" s="400"/>
      <c r="H77" s="400">
        <f t="shared" si="5"/>
        <v>0</v>
      </c>
      <c r="I77" s="400"/>
      <c r="J77" s="400">
        <f t="shared" si="3"/>
        <v>0</v>
      </c>
    </row>
    <row r="78" spans="1:10" ht="19.5" customHeight="1">
      <c r="A78" s="152"/>
      <c r="B78" s="545"/>
      <c r="C78" s="549"/>
      <c r="D78" s="536"/>
      <c r="E78" s="547"/>
      <c r="F78" s="517">
        <f t="shared" si="4"/>
        <v>0</v>
      </c>
      <c r="G78" s="400"/>
      <c r="H78" s="400">
        <f t="shared" si="5"/>
        <v>0</v>
      </c>
      <c r="I78" s="400"/>
      <c r="J78" s="400">
        <f t="shared" si="3"/>
        <v>0</v>
      </c>
    </row>
    <row r="79" spans="1:10" ht="19.5" customHeight="1">
      <c r="A79" s="152">
        <v>4</v>
      </c>
      <c r="B79" s="551" t="s">
        <v>82</v>
      </c>
      <c r="C79" s="551"/>
      <c r="D79" s="551"/>
      <c r="E79" s="552"/>
      <c r="F79" s="517">
        <f t="shared" si="4"/>
        <v>0</v>
      </c>
      <c r="G79" s="400"/>
      <c r="H79" s="400">
        <f t="shared" si="5"/>
        <v>0</v>
      </c>
      <c r="I79" s="400"/>
      <c r="J79" s="400">
        <f t="shared" si="3"/>
        <v>0</v>
      </c>
    </row>
    <row r="80" spans="1:10" ht="19.5" customHeight="1">
      <c r="A80" s="141">
        <v>4.01</v>
      </c>
      <c r="B80" s="553" t="s">
        <v>83</v>
      </c>
      <c r="C80" s="554" t="s">
        <v>50</v>
      </c>
      <c r="D80" s="510">
        <f>((0.75*0.2)*4)*6</f>
        <v>3.6000000000000005</v>
      </c>
      <c r="E80" s="555">
        <v>10991.111111111109</v>
      </c>
      <c r="F80" s="512">
        <f t="shared" si="4"/>
        <v>39568</v>
      </c>
      <c r="G80" s="403"/>
      <c r="H80" s="367">
        <f>SUBTOTAL(9,H81:H90)</f>
        <v>47610</v>
      </c>
      <c r="I80" s="403">
        <v>9023.6</v>
      </c>
      <c r="J80" s="403">
        <f t="shared" si="3"/>
        <v>32484.960000000006</v>
      </c>
    </row>
    <row r="81" spans="1:10" ht="19.5" customHeight="1">
      <c r="A81" s="151"/>
      <c r="B81" s="545" t="s">
        <v>2</v>
      </c>
      <c r="C81" s="546"/>
      <c r="D81" s="515"/>
      <c r="E81" s="547"/>
      <c r="F81" s="517">
        <f t="shared" si="4"/>
        <v>0</v>
      </c>
      <c r="G81" s="400"/>
      <c r="H81" s="400">
        <f t="shared" si="5"/>
        <v>0</v>
      </c>
      <c r="I81" s="400"/>
      <c r="J81" s="400">
        <f t="shared" si="3"/>
        <v>0</v>
      </c>
    </row>
    <row r="82" spans="1:10" ht="19.5" customHeight="1">
      <c r="A82" s="151"/>
      <c r="B82" s="548" t="s">
        <v>84</v>
      </c>
      <c r="C82" s="546" t="s">
        <v>85</v>
      </c>
      <c r="D82" s="519">
        <f>D80/(2.4*1.2)/2</f>
        <v>0.62500000000000011</v>
      </c>
      <c r="E82" s="547">
        <v>3500</v>
      </c>
      <c r="F82" s="517">
        <f t="shared" si="4"/>
        <v>2187.5000000000005</v>
      </c>
      <c r="G82" s="400">
        <v>30000</v>
      </c>
      <c r="H82" s="400">
        <f t="shared" si="5"/>
        <v>18750.000000000004</v>
      </c>
      <c r="I82" s="400">
        <v>25000</v>
      </c>
      <c r="J82" s="400">
        <f t="shared" si="3"/>
        <v>15625.000000000004</v>
      </c>
    </row>
    <row r="83" spans="1:10" ht="19.5" customHeight="1">
      <c r="A83" s="151"/>
      <c r="B83" s="548" t="s">
        <v>86</v>
      </c>
      <c r="C83" s="546" t="s">
        <v>44</v>
      </c>
      <c r="D83" s="519">
        <f>D80*1.5</f>
        <v>5.4</v>
      </c>
      <c r="E83" s="547">
        <v>5000</v>
      </c>
      <c r="F83" s="517">
        <f t="shared" si="4"/>
        <v>27000</v>
      </c>
      <c r="G83" s="400">
        <v>4000</v>
      </c>
      <c r="H83" s="400">
        <f t="shared" si="5"/>
        <v>21600</v>
      </c>
      <c r="I83" s="400">
        <v>1500</v>
      </c>
      <c r="J83" s="400">
        <f t="shared" si="3"/>
        <v>8100.0000000000009</v>
      </c>
    </row>
    <row r="84" spans="1:10" ht="19.5" customHeight="1">
      <c r="A84" s="142"/>
      <c r="B84" s="548" t="s">
        <v>87</v>
      </c>
      <c r="C84" s="546" t="s">
        <v>88</v>
      </c>
      <c r="D84" s="519">
        <f>D80*0.25</f>
        <v>0.90000000000000013</v>
      </c>
      <c r="E84" s="547">
        <v>2200</v>
      </c>
      <c r="F84" s="517">
        <f t="shared" si="4"/>
        <v>1980.0000000000002</v>
      </c>
      <c r="G84" s="400">
        <v>2200</v>
      </c>
      <c r="H84" s="400">
        <f t="shared" si="5"/>
        <v>1980.0000000000002</v>
      </c>
      <c r="I84" s="400">
        <v>2000</v>
      </c>
      <c r="J84" s="400">
        <f t="shared" si="3"/>
        <v>1800.0000000000002</v>
      </c>
    </row>
    <row r="85" spans="1:10" ht="19.5" customHeight="1">
      <c r="A85" s="142"/>
      <c r="B85" s="545" t="s">
        <v>89</v>
      </c>
      <c r="C85" s="549"/>
      <c r="D85" s="536"/>
      <c r="E85" s="547"/>
      <c r="F85" s="517">
        <f t="shared" si="4"/>
        <v>0</v>
      </c>
      <c r="G85" s="400"/>
      <c r="H85" s="400">
        <f t="shared" si="5"/>
        <v>0</v>
      </c>
      <c r="I85" s="400"/>
      <c r="J85" s="400">
        <f t="shared" si="3"/>
        <v>0</v>
      </c>
    </row>
    <row r="86" spans="1:10" ht="19.5" customHeight="1">
      <c r="A86" s="142"/>
      <c r="B86" s="548"/>
      <c r="C86" s="546"/>
      <c r="D86" s="519"/>
      <c r="E86" s="547"/>
      <c r="F86" s="517">
        <f t="shared" si="4"/>
        <v>0</v>
      </c>
      <c r="G86" s="400"/>
      <c r="H86" s="400">
        <f t="shared" si="5"/>
        <v>0</v>
      </c>
      <c r="I86" s="400"/>
      <c r="J86" s="400">
        <f t="shared" si="3"/>
        <v>0</v>
      </c>
    </row>
    <row r="87" spans="1:10" ht="19.5" customHeight="1">
      <c r="A87" s="145"/>
      <c r="B87" s="545" t="s">
        <v>6</v>
      </c>
      <c r="C87" s="546"/>
      <c r="D87" s="519"/>
      <c r="E87" s="547"/>
      <c r="F87" s="517">
        <f t="shared" si="4"/>
        <v>0</v>
      </c>
      <c r="G87" s="400"/>
      <c r="H87" s="400">
        <f t="shared" si="5"/>
        <v>0</v>
      </c>
      <c r="I87" s="400"/>
      <c r="J87" s="400">
        <f t="shared" si="3"/>
        <v>0</v>
      </c>
    </row>
    <row r="88" spans="1:10" ht="19.5" customHeight="1">
      <c r="A88" s="145"/>
      <c r="B88" s="548" t="s">
        <v>90</v>
      </c>
      <c r="C88" s="546" t="s">
        <v>21</v>
      </c>
      <c r="D88" s="519">
        <f>D80/15</f>
        <v>0.24000000000000005</v>
      </c>
      <c r="E88" s="547">
        <v>15000</v>
      </c>
      <c r="F88" s="517">
        <f t="shared" si="4"/>
        <v>3600.0000000000009</v>
      </c>
      <c r="G88" s="400">
        <v>12000</v>
      </c>
      <c r="H88" s="400">
        <f t="shared" si="5"/>
        <v>2880.0000000000005</v>
      </c>
      <c r="I88" s="400">
        <v>15000</v>
      </c>
      <c r="J88" s="400">
        <f t="shared" si="3"/>
        <v>3600.0000000000009</v>
      </c>
    </row>
    <row r="89" spans="1:10" ht="19.5" customHeight="1">
      <c r="A89" s="145"/>
      <c r="B89" s="548" t="s">
        <v>25</v>
      </c>
      <c r="C89" s="546" t="s">
        <v>21</v>
      </c>
      <c r="D89" s="519">
        <f>D88*2</f>
        <v>0.48000000000000009</v>
      </c>
      <c r="E89" s="547">
        <v>10000</v>
      </c>
      <c r="F89" s="517">
        <f t="shared" si="4"/>
        <v>4800.0000000000009</v>
      </c>
      <c r="G89" s="400">
        <v>5000</v>
      </c>
      <c r="H89" s="400">
        <f t="shared" si="5"/>
        <v>2400.0000000000005</v>
      </c>
      <c r="I89" s="400">
        <v>7000</v>
      </c>
      <c r="J89" s="400">
        <f t="shared" si="3"/>
        <v>3360.0000000000005</v>
      </c>
    </row>
    <row r="90" spans="1:10" ht="19.5" customHeight="1">
      <c r="A90" s="151"/>
      <c r="B90" s="545" t="s">
        <v>91</v>
      </c>
      <c r="C90" s="549"/>
      <c r="D90" s="556"/>
      <c r="E90" s="547"/>
      <c r="F90" s="517">
        <f t="shared" si="4"/>
        <v>0</v>
      </c>
      <c r="G90" s="400"/>
      <c r="H90" s="400">
        <f t="shared" si="5"/>
        <v>0</v>
      </c>
      <c r="I90" s="400"/>
      <c r="J90" s="400">
        <f t="shared" si="3"/>
        <v>0</v>
      </c>
    </row>
    <row r="91" spans="1:10" ht="19.5" customHeight="1">
      <c r="A91" s="141">
        <v>4.0199999999999996</v>
      </c>
      <c r="B91" s="553" t="s">
        <v>118</v>
      </c>
      <c r="C91" s="554" t="s">
        <v>50</v>
      </c>
      <c r="D91" s="510">
        <f>((1.05*0.3)*4)*10</f>
        <v>12.6</v>
      </c>
      <c r="E91" s="555">
        <v>7817.3809523809523</v>
      </c>
      <c r="F91" s="512">
        <f t="shared" si="4"/>
        <v>98499</v>
      </c>
      <c r="G91" s="403"/>
      <c r="H91" s="367">
        <f>SUBTOTAL(9,H92:H101)</f>
        <v>166635</v>
      </c>
      <c r="I91" s="403">
        <v>9023.65</v>
      </c>
      <c r="J91" s="403">
        <f t="shared" si="3"/>
        <v>113697.98999999999</v>
      </c>
    </row>
    <row r="92" spans="1:10" ht="19.5" customHeight="1">
      <c r="A92" s="151"/>
      <c r="B92" s="545" t="s">
        <v>2</v>
      </c>
      <c r="C92" s="546"/>
      <c r="D92" s="515"/>
      <c r="E92" s="547"/>
      <c r="F92" s="517">
        <f t="shared" si="4"/>
        <v>0</v>
      </c>
      <c r="G92" s="400"/>
      <c r="H92" s="400">
        <f t="shared" si="5"/>
        <v>0</v>
      </c>
      <c r="I92" s="400"/>
      <c r="J92" s="400">
        <f t="shared" si="3"/>
        <v>0</v>
      </c>
    </row>
    <row r="93" spans="1:10" ht="19.5" customHeight="1">
      <c r="A93" s="151"/>
      <c r="B93" s="548" t="s">
        <v>84</v>
      </c>
      <c r="C93" s="546" t="s">
        <v>85</v>
      </c>
      <c r="D93" s="519">
        <f>D91/(2.4*1.2)/2</f>
        <v>2.1875</v>
      </c>
      <c r="E93" s="547">
        <v>2500</v>
      </c>
      <c r="F93" s="517">
        <f t="shared" si="4"/>
        <v>5468.75</v>
      </c>
      <c r="G93" s="400">
        <v>30000</v>
      </c>
      <c r="H93" s="400">
        <f t="shared" si="5"/>
        <v>65625</v>
      </c>
      <c r="I93" s="400">
        <v>25000</v>
      </c>
      <c r="J93" s="400">
        <f t="shared" si="3"/>
        <v>54687.5</v>
      </c>
    </row>
    <row r="94" spans="1:10" ht="19.5" customHeight="1">
      <c r="A94" s="151"/>
      <c r="B94" s="548" t="s">
        <v>86</v>
      </c>
      <c r="C94" s="546" t="s">
        <v>44</v>
      </c>
      <c r="D94" s="519">
        <f>D91*1.5</f>
        <v>18.899999999999999</v>
      </c>
      <c r="E94" s="547">
        <v>3000</v>
      </c>
      <c r="F94" s="517">
        <f t="shared" si="4"/>
        <v>56699.999999999993</v>
      </c>
      <c r="G94" s="400">
        <v>4000</v>
      </c>
      <c r="H94" s="400">
        <f t="shared" si="5"/>
        <v>75600</v>
      </c>
      <c r="I94" s="400">
        <v>1500</v>
      </c>
      <c r="J94" s="400">
        <f t="shared" si="3"/>
        <v>28349.999999999996</v>
      </c>
    </row>
    <row r="95" spans="1:10" ht="19.5" customHeight="1">
      <c r="A95" s="142"/>
      <c r="B95" s="548" t="s">
        <v>87</v>
      </c>
      <c r="C95" s="546" t="s">
        <v>88</v>
      </c>
      <c r="D95" s="519">
        <f>D91*0.25</f>
        <v>3.15</v>
      </c>
      <c r="E95" s="547">
        <v>2200</v>
      </c>
      <c r="F95" s="517">
        <f t="shared" si="4"/>
        <v>6930</v>
      </c>
      <c r="G95" s="400">
        <v>2200</v>
      </c>
      <c r="H95" s="400">
        <f t="shared" si="5"/>
        <v>6930</v>
      </c>
      <c r="I95" s="400">
        <v>2000</v>
      </c>
      <c r="J95" s="400">
        <f t="shared" si="3"/>
        <v>6300</v>
      </c>
    </row>
    <row r="96" spans="1:10" ht="19.5" customHeight="1">
      <c r="A96" s="142"/>
      <c r="B96" s="545" t="s">
        <v>89</v>
      </c>
      <c r="C96" s="549"/>
      <c r="D96" s="536"/>
      <c r="E96" s="547"/>
      <c r="F96" s="517">
        <f t="shared" si="4"/>
        <v>0</v>
      </c>
      <c r="G96" s="400"/>
      <c r="H96" s="400">
        <f t="shared" si="5"/>
        <v>0</v>
      </c>
      <c r="I96" s="400"/>
      <c r="J96" s="400">
        <f t="shared" si="3"/>
        <v>0</v>
      </c>
    </row>
    <row r="97" spans="1:10" ht="19.5" customHeight="1">
      <c r="A97" s="142"/>
      <c r="B97" s="548"/>
      <c r="C97" s="546"/>
      <c r="D97" s="519"/>
      <c r="E97" s="547"/>
      <c r="F97" s="517">
        <f t="shared" si="4"/>
        <v>0</v>
      </c>
      <c r="G97" s="400"/>
      <c r="H97" s="400">
        <f t="shared" si="5"/>
        <v>0</v>
      </c>
      <c r="I97" s="400"/>
      <c r="J97" s="400">
        <f t="shared" si="3"/>
        <v>0</v>
      </c>
    </row>
    <row r="98" spans="1:10" ht="19.5" customHeight="1">
      <c r="A98" s="145"/>
      <c r="B98" s="545" t="s">
        <v>6</v>
      </c>
      <c r="C98" s="546"/>
      <c r="D98" s="519"/>
      <c r="E98" s="547"/>
      <c r="F98" s="517">
        <f t="shared" si="4"/>
        <v>0</v>
      </c>
      <c r="G98" s="400"/>
      <c r="H98" s="400">
        <f t="shared" si="5"/>
        <v>0</v>
      </c>
      <c r="I98" s="400"/>
      <c r="J98" s="400">
        <f t="shared" si="3"/>
        <v>0</v>
      </c>
    </row>
    <row r="99" spans="1:10" ht="19.5" customHeight="1">
      <c r="A99" s="145"/>
      <c r="B99" s="548" t="s">
        <v>90</v>
      </c>
      <c r="C99" s="546" t="s">
        <v>21</v>
      </c>
      <c r="D99" s="519">
        <f>D91/15</f>
        <v>0.84</v>
      </c>
      <c r="E99" s="547">
        <v>15000</v>
      </c>
      <c r="F99" s="517">
        <f t="shared" si="4"/>
        <v>12600</v>
      </c>
      <c r="G99" s="400">
        <v>12000</v>
      </c>
      <c r="H99" s="400">
        <f t="shared" si="5"/>
        <v>10080</v>
      </c>
      <c r="I99" s="400">
        <v>15000</v>
      </c>
      <c r="J99" s="400">
        <f t="shared" si="3"/>
        <v>12600</v>
      </c>
    </row>
    <row r="100" spans="1:10" ht="19.5" customHeight="1">
      <c r="A100" s="145"/>
      <c r="B100" s="548" t="s">
        <v>25</v>
      </c>
      <c r="C100" s="546" t="s">
        <v>21</v>
      </c>
      <c r="D100" s="519">
        <f>D99*2</f>
        <v>1.68</v>
      </c>
      <c r="E100" s="547">
        <v>10000</v>
      </c>
      <c r="F100" s="517">
        <f t="shared" si="4"/>
        <v>16800</v>
      </c>
      <c r="G100" s="400">
        <v>5000</v>
      </c>
      <c r="H100" s="400">
        <f t="shared" si="5"/>
        <v>8400</v>
      </c>
      <c r="I100" s="400">
        <v>7000</v>
      </c>
      <c r="J100" s="400">
        <f t="shared" si="3"/>
        <v>11760</v>
      </c>
    </row>
    <row r="101" spans="1:10" ht="19.5" customHeight="1">
      <c r="A101" s="151"/>
      <c r="B101" s="545" t="s">
        <v>91</v>
      </c>
      <c r="C101" s="549"/>
      <c r="D101" s="556"/>
      <c r="E101" s="547"/>
      <c r="F101" s="517">
        <f t="shared" si="4"/>
        <v>0</v>
      </c>
      <c r="G101" s="400"/>
      <c r="H101" s="400">
        <f t="shared" si="5"/>
        <v>0</v>
      </c>
      <c r="I101" s="400"/>
      <c r="J101" s="400">
        <f t="shared" si="3"/>
        <v>0</v>
      </c>
    </row>
    <row r="102" spans="1:10" ht="19.5" customHeight="1">
      <c r="A102" s="141">
        <v>4.03</v>
      </c>
      <c r="B102" s="553" t="s">
        <v>95</v>
      </c>
      <c r="C102" s="554" t="s">
        <v>36</v>
      </c>
      <c r="D102" s="510">
        <f>((3.1*0.3)*4)*10</f>
        <v>37.199999999999996</v>
      </c>
      <c r="E102" s="555">
        <v>11164.596774193549</v>
      </c>
      <c r="F102" s="512">
        <f t="shared" si="4"/>
        <v>415323</v>
      </c>
      <c r="G102" s="403"/>
      <c r="H102" s="367">
        <f>SUBTOTAL(9,H103:H112)</f>
        <v>491970</v>
      </c>
      <c r="I102" s="403">
        <v>9023.6</v>
      </c>
      <c r="J102" s="403">
        <f t="shared" si="3"/>
        <v>335677.92</v>
      </c>
    </row>
    <row r="103" spans="1:10" ht="19.5" customHeight="1">
      <c r="A103" s="151"/>
      <c r="B103" s="545" t="s">
        <v>2</v>
      </c>
      <c r="C103" s="546"/>
      <c r="D103" s="515"/>
      <c r="E103" s="547"/>
      <c r="F103" s="517">
        <f t="shared" si="4"/>
        <v>0</v>
      </c>
      <c r="G103" s="400"/>
      <c r="H103" s="400">
        <f t="shared" si="5"/>
        <v>0</v>
      </c>
      <c r="I103" s="400"/>
      <c r="J103" s="400">
        <f t="shared" si="3"/>
        <v>0</v>
      </c>
    </row>
    <row r="104" spans="1:10" ht="19.5" customHeight="1">
      <c r="A104" s="151"/>
      <c r="B104" s="548" t="s">
        <v>84</v>
      </c>
      <c r="C104" s="546" t="s">
        <v>85</v>
      </c>
      <c r="D104" s="519">
        <f>D102/(2.4*1.2)/2</f>
        <v>6.458333333333333</v>
      </c>
      <c r="E104" s="547">
        <v>4500</v>
      </c>
      <c r="F104" s="517">
        <f t="shared" si="4"/>
        <v>29062.5</v>
      </c>
      <c r="G104" s="400">
        <v>30000</v>
      </c>
      <c r="H104" s="400">
        <f t="shared" si="5"/>
        <v>193750</v>
      </c>
      <c r="I104" s="400">
        <v>25000</v>
      </c>
      <c r="J104" s="400">
        <f t="shared" si="3"/>
        <v>161458.33333333331</v>
      </c>
    </row>
    <row r="105" spans="1:10" ht="19.5" customHeight="1">
      <c r="A105" s="151"/>
      <c r="B105" s="548" t="s">
        <v>86</v>
      </c>
      <c r="C105" s="546" t="s">
        <v>44</v>
      </c>
      <c r="D105" s="519">
        <f>D102*1.5</f>
        <v>55.8</v>
      </c>
      <c r="E105" s="547">
        <v>5000</v>
      </c>
      <c r="F105" s="517">
        <f t="shared" si="4"/>
        <v>279000</v>
      </c>
      <c r="G105" s="400">
        <v>4000</v>
      </c>
      <c r="H105" s="400">
        <f t="shared" si="5"/>
        <v>223200</v>
      </c>
      <c r="I105" s="400">
        <v>1500</v>
      </c>
      <c r="J105" s="400">
        <f t="shared" si="3"/>
        <v>83700</v>
      </c>
    </row>
    <row r="106" spans="1:10" ht="19.5" customHeight="1">
      <c r="A106" s="142"/>
      <c r="B106" s="548" t="s">
        <v>87</v>
      </c>
      <c r="C106" s="546" t="s">
        <v>88</v>
      </c>
      <c r="D106" s="519">
        <f>D102*0.25</f>
        <v>9.2999999999999989</v>
      </c>
      <c r="E106" s="547">
        <v>2200</v>
      </c>
      <c r="F106" s="517">
        <f t="shared" si="4"/>
        <v>20459.999999999996</v>
      </c>
      <c r="G106" s="400">
        <v>2200</v>
      </c>
      <c r="H106" s="400">
        <f t="shared" si="5"/>
        <v>20459.999999999996</v>
      </c>
      <c r="I106" s="400">
        <v>2000</v>
      </c>
      <c r="J106" s="400">
        <f t="shared" si="3"/>
        <v>18599.999999999996</v>
      </c>
    </row>
    <row r="107" spans="1:10" s="61" customFormat="1" ht="19.5" customHeight="1">
      <c r="A107" s="142"/>
      <c r="B107" s="545" t="s">
        <v>89</v>
      </c>
      <c r="C107" s="549"/>
      <c r="D107" s="536"/>
      <c r="E107" s="547"/>
      <c r="F107" s="517">
        <f t="shared" si="4"/>
        <v>0</v>
      </c>
      <c r="G107" s="404"/>
      <c r="H107" s="400">
        <f t="shared" si="5"/>
        <v>0</v>
      </c>
      <c r="I107" s="404"/>
      <c r="J107" s="400">
        <f t="shared" si="3"/>
        <v>0</v>
      </c>
    </row>
    <row r="108" spans="1:10" ht="19.5" customHeight="1">
      <c r="A108" s="142"/>
      <c r="B108" s="548"/>
      <c r="C108" s="546"/>
      <c r="D108" s="519"/>
      <c r="E108" s="547"/>
      <c r="F108" s="517">
        <f t="shared" si="4"/>
        <v>0</v>
      </c>
      <c r="G108" s="400"/>
      <c r="H108" s="400">
        <f t="shared" si="5"/>
        <v>0</v>
      </c>
      <c r="I108" s="400"/>
      <c r="J108" s="400">
        <f t="shared" si="3"/>
        <v>0</v>
      </c>
    </row>
    <row r="109" spans="1:10" ht="19.5" customHeight="1">
      <c r="A109" s="145"/>
      <c r="B109" s="545" t="s">
        <v>6</v>
      </c>
      <c r="C109" s="546"/>
      <c r="D109" s="519"/>
      <c r="E109" s="547"/>
      <c r="F109" s="517">
        <f t="shared" si="4"/>
        <v>0</v>
      </c>
      <c r="G109" s="400"/>
      <c r="H109" s="400">
        <f t="shared" si="5"/>
        <v>0</v>
      </c>
      <c r="I109" s="400"/>
      <c r="J109" s="400">
        <f t="shared" si="3"/>
        <v>0</v>
      </c>
    </row>
    <row r="110" spans="1:10" ht="19.5" customHeight="1">
      <c r="A110" s="145"/>
      <c r="B110" s="548" t="s">
        <v>90</v>
      </c>
      <c r="C110" s="546" t="s">
        <v>21</v>
      </c>
      <c r="D110" s="519">
        <f>D102/15</f>
        <v>2.4799999999999995</v>
      </c>
      <c r="E110" s="547">
        <v>15000</v>
      </c>
      <c r="F110" s="517">
        <f t="shared" si="4"/>
        <v>37199.999999999993</v>
      </c>
      <c r="G110" s="400">
        <v>12000</v>
      </c>
      <c r="H110" s="400">
        <f t="shared" si="5"/>
        <v>29759.999999999993</v>
      </c>
      <c r="I110" s="400">
        <v>15000</v>
      </c>
      <c r="J110" s="400">
        <f t="shared" si="3"/>
        <v>37199.999999999993</v>
      </c>
    </row>
    <row r="111" spans="1:10" s="55" customFormat="1" ht="19.5" customHeight="1">
      <c r="A111" s="145"/>
      <c r="B111" s="548" t="s">
        <v>25</v>
      </c>
      <c r="C111" s="546" t="s">
        <v>21</v>
      </c>
      <c r="D111" s="519">
        <f>D110*2</f>
        <v>4.9599999999999991</v>
      </c>
      <c r="E111" s="547">
        <v>10000</v>
      </c>
      <c r="F111" s="517">
        <f t="shared" si="4"/>
        <v>49599.999999999993</v>
      </c>
      <c r="G111" s="405">
        <v>5000</v>
      </c>
      <c r="H111" s="400">
        <f t="shared" si="5"/>
        <v>24799.999999999996</v>
      </c>
      <c r="I111" s="405">
        <v>7000</v>
      </c>
      <c r="J111" s="400">
        <f t="shared" si="3"/>
        <v>34719.999999999993</v>
      </c>
    </row>
    <row r="112" spans="1:10" ht="19.5" customHeight="1">
      <c r="A112" s="151"/>
      <c r="B112" s="557" t="s">
        <v>9</v>
      </c>
      <c r="C112" s="549"/>
      <c r="D112" s="556"/>
      <c r="E112" s="547"/>
      <c r="F112" s="517">
        <f t="shared" si="4"/>
        <v>0</v>
      </c>
      <c r="G112" s="400"/>
      <c r="H112" s="400">
        <f t="shared" si="5"/>
        <v>0</v>
      </c>
      <c r="I112" s="400"/>
      <c r="J112" s="400">
        <f t="shared" si="3"/>
        <v>0</v>
      </c>
    </row>
    <row r="113" spans="1:10" ht="19.5" customHeight="1">
      <c r="A113" s="151"/>
      <c r="B113" s="557"/>
      <c r="C113" s="549"/>
      <c r="D113" s="556"/>
      <c r="E113" s="547"/>
      <c r="F113" s="517">
        <f t="shared" si="4"/>
        <v>0</v>
      </c>
      <c r="G113" s="400"/>
      <c r="H113" s="400">
        <f t="shared" si="5"/>
        <v>0</v>
      </c>
      <c r="I113" s="400"/>
      <c r="J113" s="400">
        <f t="shared" si="3"/>
        <v>0</v>
      </c>
    </row>
    <row r="114" spans="1:10" ht="19.5" customHeight="1">
      <c r="A114" s="154">
        <v>5</v>
      </c>
      <c r="B114" s="553" t="s">
        <v>105</v>
      </c>
      <c r="C114" s="554" t="s">
        <v>88</v>
      </c>
      <c r="D114" s="510">
        <v>361.34</v>
      </c>
      <c r="E114" s="555">
        <v>6375.8343941993699</v>
      </c>
      <c r="F114" s="512">
        <f t="shared" si="4"/>
        <v>2303844</v>
      </c>
      <c r="G114" s="403"/>
      <c r="H114" s="367">
        <f>SUBTOTAL(9,H115:H124)</f>
        <v>1987871.861111111</v>
      </c>
      <c r="I114" s="403">
        <v>3141.1111111111109</v>
      </c>
      <c r="J114" s="403">
        <f t="shared" si="3"/>
        <v>1135009.0888888887</v>
      </c>
    </row>
    <row r="115" spans="1:10" ht="19.5" customHeight="1">
      <c r="A115" s="151"/>
      <c r="B115" s="545" t="s">
        <v>2</v>
      </c>
      <c r="C115" s="546"/>
      <c r="D115" s="515"/>
      <c r="E115" s="547"/>
      <c r="F115" s="517">
        <f t="shared" si="4"/>
        <v>0</v>
      </c>
      <c r="G115" s="400"/>
      <c r="H115" s="400">
        <f t="shared" si="5"/>
        <v>0</v>
      </c>
      <c r="I115" s="400"/>
      <c r="J115" s="400">
        <f t="shared" si="3"/>
        <v>0</v>
      </c>
    </row>
    <row r="116" spans="1:10" s="56" customFormat="1" ht="19.5" customHeight="1">
      <c r="A116" s="151"/>
      <c r="B116" s="548" t="s">
        <v>106</v>
      </c>
      <c r="C116" s="546" t="s">
        <v>88</v>
      </c>
      <c r="D116" s="519">
        <f>D114*1.1</f>
        <v>397.47399999999999</v>
      </c>
      <c r="E116" s="547">
        <v>5050</v>
      </c>
      <c r="F116" s="517">
        <f t="shared" si="4"/>
        <v>2007243.7</v>
      </c>
      <c r="G116" s="406">
        <v>4500</v>
      </c>
      <c r="H116" s="400">
        <f t="shared" si="5"/>
        <v>1788633</v>
      </c>
      <c r="I116" s="406">
        <v>1800</v>
      </c>
      <c r="J116" s="400">
        <f t="shared" si="3"/>
        <v>715453.2</v>
      </c>
    </row>
    <row r="117" spans="1:10" ht="19.5" customHeight="1">
      <c r="A117" s="151"/>
      <c r="B117" s="548" t="s">
        <v>107</v>
      </c>
      <c r="C117" s="546" t="s">
        <v>88</v>
      </c>
      <c r="D117" s="519">
        <f>D114*2.5%</f>
        <v>9.0335000000000001</v>
      </c>
      <c r="E117" s="547">
        <v>3500</v>
      </c>
      <c r="F117" s="517">
        <f t="shared" si="4"/>
        <v>31617.25</v>
      </c>
      <c r="G117" s="400">
        <v>2500</v>
      </c>
      <c r="H117" s="400">
        <f t="shared" si="5"/>
        <v>22583.75</v>
      </c>
      <c r="I117" s="400">
        <v>2000</v>
      </c>
      <c r="J117" s="400">
        <f t="shared" si="3"/>
        <v>18067</v>
      </c>
    </row>
    <row r="118" spans="1:10" s="61" customFormat="1" ht="19.5" customHeight="1">
      <c r="A118" s="151"/>
      <c r="B118" s="548"/>
      <c r="C118" s="546"/>
      <c r="D118" s="519"/>
      <c r="E118" s="547"/>
      <c r="F118" s="517">
        <f t="shared" si="4"/>
        <v>0</v>
      </c>
      <c r="G118" s="404"/>
      <c r="H118" s="400">
        <f t="shared" si="5"/>
        <v>0</v>
      </c>
      <c r="I118" s="404"/>
      <c r="J118" s="400">
        <f t="shared" si="3"/>
        <v>0</v>
      </c>
    </row>
    <row r="119" spans="1:10" ht="19.5" customHeight="1">
      <c r="A119" s="152"/>
      <c r="B119" s="545" t="s">
        <v>108</v>
      </c>
      <c r="C119" s="549"/>
      <c r="D119" s="536"/>
      <c r="E119" s="547"/>
      <c r="F119" s="517">
        <f t="shared" si="4"/>
        <v>0</v>
      </c>
      <c r="G119" s="400"/>
      <c r="H119" s="400">
        <f t="shared" si="5"/>
        <v>0</v>
      </c>
      <c r="I119" s="400"/>
      <c r="J119" s="400">
        <f t="shared" si="3"/>
        <v>0</v>
      </c>
    </row>
    <row r="120" spans="1:10" ht="19.5" customHeight="1">
      <c r="A120" s="151"/>
      <c r="B120" s="548"/>
      <c r="C120" s="546"/>
      <c r="D120" s="519"/>
      <c r="E120" s="547"/>
      <c r="F120" s="517">
        <f t="shared" si="4"/>
        <v>0</v>
      </c>
      <c r="G120" s="400"/>
      <c r="H120" s="400">
        <f t="shared" si="5"/>
        <v>0</v>
      </c>
      <c r="I120" s="400"/>
      <c r="J120" s="400">
        <f t="shared" si="3"/>
        <v>0</v>
      </c>
    </row>
    <row r="121" spans="1:10" ht="19.5" customHeight="1">
      <c r="A121" s="151"/>
      <c r="B121" s="545" t="s">
        <v>6</v>
      </c>
      <c r="C121" s="546"/>
      <c r="D121" s="519"/>
      <c r="E121" s="547"/>
      <c r="F121" s="517">
        <f t="shared" si="4"/>
        <v>0</v>
      </c>
      <c r="G121" s="400"/>
      <c r="H121" s="400">
        <f t="shared" si="5"/>
        <v>0</v>
      </c>
      <c r="I121" s="400"/>
      <c r="J121" s="400">
        <f t="shared" si="3"/>
        <v>0</v>
      </c>
    </row>
    <row r="122" spans="1:10" ht="19.5" customHeight="1">
      <c r="A122" s="151"/>
      <c r="B122" s="548" t="s">
        <v>109</v>
      </c>
      <c r="C122" s="546" t="s">
        <v>8</v>
      </c>
      <c r="D122" s="519">
        <f>D114/45</f>
        <v>8.0297777777777775</v>
      </c>
      <c r="E122" s="547">
        <v>17000</v>
      </c>
      <c r="F122" s="517">
        <f t="shared" si="4"/>
        <v>136506.22222222222</v>
      </c>
      <c r="G122" s="400">
        <v>12000</v>
      </c>
      <c r="H122" s="400">
        <f t="shared" si="5"/>
        <v>96357.333333333328</v>
      </c>
      <c r="I122" s="400">
        <v>36000</v>
      </c>
      <c r="J122" s="400">
        <f t="shared" si="3"/>
        <v>289072</v>
      </c>
    </row>
    <row r="123" spans="1:10" s="56" customFormat="1" ht="19.5" customHeight="1">
      <c r="A123" s="151"/>
      <c r="B123" s="548" t="s">
        <v>110</v>
      </c>
      <c r="C123" s="546" t="s">
        <v>8</v>
      </c>
      <c r="D123" s="519">
        <f>D122*2</f>
        <v>16.059555555555555</v>
      </c>
      <c r="E123" s="547">
        <v>8000</v>
      </c>
      <c r="F123" s="517">
        <f t="shared" si="4"/>
        <v>128476.44444444444</v>
      </c>
      <c r="G123" s="406">
        <v>5000</v>
      </c>
      <c r="H123" s="400">
        <f t="shared" si="5"/>
        <v>80297.777777777781</v>
      </c>
      <c r="I123" s="406">
        <v>7000</v>
      </c>
      <c r="J123" s="400">
        <f t="shared" si="3"/>
        <v>112416.88888888889</v>
      </c>
    </row>
    <row r="124" spans="1:10" ht="24.95" customHeight="1">
      <c r="A124" s="152"/>
      <c r="B124" s="545" t="s">
        <v>111</v>
      </c>
      <c r="C124" s="549"/>
      <c r="D124" s="556"/>
      <c r="E124" s="547"/>
      <c r="F124" s="517">
        <f t="shared" si="4"/>
        <v>0</v>
      </c>
      <c r="G124" s="400"/>
      <c r="H124" s="400">
        <f t="shared" si="5"/>
        <v>0</v>
      </c>
      <c r="I124" s="400"/>
      <c r="J124" s="400">
        <f t="shared" si="3"/>
        <v>0</v>
      </c>
    </row>
    <row r="125" spans="1:10" ht="19.5" customHeight="1">
      <c r="A125" s="152"/>
      <c r="B125" s="545"/>
      <c r="C125" s="549"/>
      <c r="D125" s="556"/>
      <c r="E125" s="547"/>
      <c r="F125" s="517">
        <f t="shared" si="4"/>
        <v>0</v>
      </c>
      <c r="G125" s="400"/>
      <c r="H125" s="400">
        <f t="shared" si="5"/>
        <v>0</v>
      </c>
      <c r="I125" s="400"/>
      <c r="J125" s="400">
        <f t="shared" si="3"/>
        <v>0</v>
      </c>
    </row>
    <row r="126" spans="1:10" ht="19.5" customHeight="1">
      <c r="A126" s="148">
        <v>6</v>
      </c>
      <c r="B126" s="558" t="s">
        <v>101</v>
      </c>
      <c r="C126" s="558"/>
      <c r="D126" s="558"/>
      <c r="E126" s="552"/>
      <c r="F126" s="517">
        <f t="shared" si="4"/>
        <v>0</v>
      </c>
      <c r="G126" s="400"/>
      <c r="H126" s="400">
        <f t="shared" si="5"/>
        <v>0</v>
      </c>
      <c r="I126" s="400"/>
      <c r="J126" s="400">
        <f t="shared" si="3"/>
        <v>0</v>
      </c>
    </row>
    <row r="127" spans="1:10" ht="19.5" customHeight="1">
      <c r="A127" s="141">
        <v>6.01</v>
      </c>
      <c r="B127" s="553" t="s">
        <v>102</v>
      </c>
      <c r="C127" s="554" t="s">
        <v>10</v>
      </c>
      <c r="D127" s="510">
        <f>(0.7*0.7*0.15)*10</f>
        <v>0.73499999999999988</v>
      </c>
      <c r="E127" s="555">
        <v>218000.00000000003</v>
      </c>
      <c r="F127" s="512">
        <f t="shared" si="4"/>
        <v>160230</v>
      </c>
      <c r="G127" s="403"/>
      <c r="H127" s="367">
        <f>SUBTOTAL(9,H128:H137)</f>
        <v>290937.49999999994</v>
      </c>
      <c r="I127" s="403">
        <v>318000</v>
      </c>
      <c r="J127" s="403">
        <f t="shared" si="3"/>
        <v>233729.99999999997</v>
      </c>
    </row>
    <row r="128" spans="1:10" s="56" customFormat="1" ht="19.5" customHeight="1">
      <c r="A128" s="156"/>
      <c r="B128" s="559" t="s">
        <v>2</v>
      </c>
      <c r="C128" s="560"/>
      <c r="D128" s="561"/>
      <c r="E128" s="562"/>
      <c r="F128" s="517">
        <f t="shared" si="4"/>
        <v>0</v>
      </c>
      <c r="G128" s="406"/>
      <c r="H128" s="400">
        <f t="shared" si="5"/>
        <v>0</v>
      </c>
      <c r="I128" s="406"/>
      <c r="J128" s="400">
        <f t="shared" si="3"/>
        <v>0</v>
      </c>
    </row>
    <row r="129" spans="1:10" ht="19.5" customHeight="1">
      <c r="A129" s="156"/>
      <c r="B129" s="563" t="s">
        <v>99</v>
      </c>
      <c r="C129" s="560" t="s">
        <v>28</v>
      </c>
      <c r="D129" s="543">
        <f>D127*1.1</f>
        <v>0.80849999999999989</v>
      </c>
      <c r="E129" s="562">
        <v>180000</v>
      </c>
      <c r="F129" s="517">
        <f t="shared" si="4"/>
        <v>145529.99999999997</v>
      </c>
      <c r="G129" s="400">
        <v>350000</v>
      </c>
      <c r="H129" s="400">
        <f t="shared" si="5"/>
        <v>282974.99999999994</v>
      </c>
      <c r="I129" s="400">
        <v>280000</v>
      </c>
      <c r="J129" s="400">
        <f t="shared" si="3"/>
        <v>226379.99999999997</v>
      </c>
    </row>
    <row r="130" spans="1:10" ht="19.5" customHeight="1">
      <c r="A130" s="157"/>
      <c r="B130" s="559" t="s">
        <v>100</v>
      </c>
      <c r="C130" s="564"/>
      <c r="D130" s="565"/>
      <c r="E130" s="562"/>
      <c r="F130" s="517">
        <f t="shared" si="4"/>
        <v>0</v>
      </c>
      <c r="G130" s="400"/>
      <c r="H130" s="400">
        <f t="shared" si="5"/>
        <v>0</v>
      </c>
      <c r="I130" s="400"/>
      <c r="J130" s="400">
        <f t="shared" si="3"/>
        <v>0</v>
      </c>
    </row>
    <row r="131" spans="1:10" s="61" customFormat="1" ht="19.5" customHeight="1">
      <c r="A131" s="157"/>
      <c r="B131" s="559"/>
      <c r="C131" s="564"/>
      <c r="D131" s="565"/>
      <c r="E131" s="562"/>
      <c r="F131" s="517">
        <f t="shared" si="4"/>
        <v>0</v>
      </c>
      <c r="G131" s="404"/>
      <c r="H131" s="400">
        <f t="shared" si="5"/>
        <v>0</v>
      </c>
      <c r="I131" s="404"/>
      <c r="J131" s="400">
        <f t="shared" si="3"/>
        <v>0</v>
      </c>
    </row>
    <row r="132" spans="1:10" ht="19.5" customHeight="1">
      <c r="A132" s="151"/>
      <c r="B132" s="545" t="s">
        <v>19</v>
      </c>
      <c r="C132" s="546"/>
      <c r="D132" s="519"/>
      <c r="E132" s="562"/>
      <c r="F132" s="517">
        <f t="shared" si="4"/>
        <v>0</v>
      </c>
      <c r="G132" s="400"/>
      <c r="H132" s="400">
        <f t="shared" si="5"/>
        <v>0</v>
      </c>
      <c r="I132" s="400"/>
      <c r="J132" s="400">
        <f t="shared" si="3"/>
        <v>0</v>
      </c>
    </row>
    <row r="133" spans="1:10" ht="19.5" customHeight="1">
      <c r="A133" s="151"/>
      <c r="B133" s="548" t="s">
        <v>22</v>
      </c>
      <c r="C133" s="546" t="s">
        <v>21</v>
      </c>
      <c r="D133" s="519">
        <f>D127/6</f>
        <v>0.12249999999999998</v>
      </c>
      <c r="E133" s="562">
        <v>65000</v>
      </c>
      <c r="F133" s="517">
        <f t="shared" si="4"/>
        <v>7962.4999999999991</v>
      </c>
      <c r="G133" s="400">
        <v>45000</v>
      </c>
      <c r="H133" s="400">
        <f t="shared" si="5"/>
        <v>5512.4999999999991</v>
      </c>
      <c r="I133" s="400">
        <v>40000</v>
      </c>
      <c r="J133" s="400">
        <f t="shared" ref="J133:J196" si="6">D133*I133</f>
        <v>4899.9999999999991</v>
      </c>
    </row>
    <row r="134" spans="1:10" ht="19.5" customHeight="1">
      <c r="A134" s="152"/>
      <c r="B134" s="545" t="s">
        <v>112</v>
      </c>
      <c r="C134" s="549"/>
      <c r="D134" s="536"/>
      <c r="E134" s="562"/>
      <c r="F134" s="517">
        <f t="shared" si="4"/>
        <v>0</v>
      </c>
      <c r="G134" s="400"/>
      <c r="H134" s="400">
        <f t="shared" si="5"/>
        <v>0</v>
      </c>
      <c r="I134" s="400"/>
      <c r="J134" s="400">
        <f t="shared" si="6"/>
        <v>0</v>
      </c>
    </row>
    <row r="135" spans="1:10" ht="19.5" customHeight="1">
      <c r="A135" s="152"/>
      <c r="B135" s="545"/>
      <c r="C135" s="549"/>
      <c r="D135" s="536"/>
      <c r="E135" s="562"/>
      <c r="F135" s="517">
        <f t="shared" si="4"/>
        <v>0</v>
      </c>
      <c r="G135" s="400"/>
      <c r="H135" s="400">
        <f t="shared" si="5"/>
        <v>0</v>
      </c>
      <c r="I135" s="400"/>
      <c r="J135" s="400">
        <f t="shared" si="6"/>
        <v>0</v>
      </c>
    </row>
    <row r="136" spans="1:10" ht="19.5" customHeight="1">
      <c r="A136" s="156"/>
      <c r="B136" s="563" t="s">
        <v>26</v>
      </c>
      <c r="C136" s="560" t="s">
        <v>21</v>
      </c>
      <c r="D136" s="543">
        <f>D133</f>
        <v>0.12249999999999998</v>
      </c>
      <c r="E136" s="562">
        <v>55000</v>
      </c>
      <c r="F136" s="517">
        <f t="shared" ref="F136:F199" si="7">D136*E136</f>
        <v>6737.4999999999991</v>
      </c>
      <c r="G136" s="400">
        <v>20000</v>
      </c>
      <c r="H136" s="400">
        <f t="shared" ref="H136:H199" si="8">D136*G136</f>
        <v>2449.9999999999995</v>
      </c>
      <c r="I136" s="400">
        <v>20000</v>
      </c>
      <c r="J136" s="400">
        <f t="shared" si="6"/>
        <v>2449.9999999999995</v>
      </c>
    </row>
    <row r="137" spans="1:10" ht="19.5" customHeight="1">
      <c r="A137" s="157"/>
      <c r="B137" s="559" t="s">
        <v>113</v>
      </c>
      <c r="C137" s="564"/>
      <c r="D137" s="565"/>
      <c r="E137" s="562"/>
      <c r="F137" s="517">
        <f t="shared" si="7"/>
        <v>0</v>
      </c>
      <c r="G137" s="400"/>
      <c r="H137" s="400">
        <f t="shared" si="8"/>
        <v>0</v>
      </c>
      <c r="I137" s="400"/>
      <c r="J137" s="400">
        <f t="shared" si="6"/>
        <v>0</v>
      </c>
    </row>
    <row r="138" spans="1:10" ht="19.5" customHeight="1">
      <c r="A138" s="141">
        <v>6.02</v>
      </c>
      <c r="B138" s="553" t="s">
        <v>103</v>
      </c>
      <c r="C138" s="554" t="s">
        <v>10</v>
      </c>
      <c r="D138" s="510">
        <f>(1*0.25*0.25)*10</f>
        <v>0.625</v>
      </c>
      <c r="E138" s="555">
        <v>223920</v>
      </c>
      <c r="F138" s="512">
        <f t="shared" si="7"/>
        <v>139950</v>
      </c>
      <c r="G138" s="403"/>
      <c r="H138" s="367">
        <f>SUBTOTAL(9,H139:H148)</f>
        <v>24879.166666666664</v>
      </c>
      <c r="I138" s="403">
        <v>309960</v>
      </c>
      <c r="J138" s="403">
        <f t="shared" si="6"/>
        <v>193725</v>
      </c>
    </row>
    <row r="139" spans="1:10" ht="19.5" customHeight="1">
      <c r="A139" s="156"/>
      <c r="B139" s="559" t="s">
        <v>2</v>
      </c>
      <c r="C139" s="560"/>
      <c r="D139" s="561"/>
      <c r="E139" s="562"/>
      <c r="F139" s="517">
        <f t="shared" si="7"/>
        <v>0</v>
      </c>
      <c r="G139" s="400"/>
      <c r="H139" s="400">
        <f t="shared" si="8"/>
        <v>0</v>
      </c>
      <c r="I139" s="400"/>
      <c r="J139" s="400">
        <f t="shared" si="6"/>
        <v>0</v>
      </c>
    </row>
    <row r="140" spans="1:10" s="56" customFormat="1" ht="19.5" customHeight="1">
      <c r="A140" s="156"/>
      <c r="B140" s="563" t="s">
        <v>99</v>
      </c>
      <c r="C140" s="560" t="s">
        <v>28</v>
      </c>
      <c r="D140" s="543">
        <f>D138*1.1</f>
        <v>0.6875</v>
      </c>
      <c r="E140" s="562">
        <v>200000</v>
      </c>
      <c r="F140" s="517">
        <f t="shared" si="7"/>
        <v>137500</v>
      </c>
      <c r="G140" s="406">
        <v>35000</v>
      </c>
      <c r="H140" s="400">
        <f t="shared" si="8"/>
        <v>24062.5</v>
      </c>
      <c r="I140" s="406">
        <v>280000</v>
      </c>
      <c r="J140" s="400">
        <f t="shared" si="6"/>
        <v>192500</v>
      </c>
    </row>
    <row r="141" spans="1:10" ht="19.5" customHeight="1">
      <c r="A141" s="157"/>
      <c r="B141" s="559" t="s">
        <v>100</v>
      </c>
      <c r="C141" s="564"/>
      <c r="D141" s="565"/>
      <c r="E141" s="562"/>
      <c r="F141" s="517">
        <f t="shared" si="7"/>
        <v>0</v>
      </c>
      <c r="G141" s="400"/>
      <c r="H141" s="400">
        <f t="shared" si="8"/>
        <v>0</v>
      </c>
      <c r="I141" s="400"/>
      <c r="J141" s="400">
        <f t="shared" si="6"/>
        <v>0</v>
      </c>
    </row>
    <row r="142" spans="1:10" ht="19.5" customHeight="1">
      <c r="A142" s="157"/>
      <c r="B142" s="559"/>
      <c r="C142" s="564"/>
      <c r="D142" s="565"/>
      <c r="E142" s="562"/>
      <c r="F142" s="517">
        <f t="shared" si="7"/>
        <v>0</v>
      </c>
      <c r="G142" s="400"/>
      <c r="H142" s="400">
        <f t="shared" si="8"/>
        <v>0</v>
      </c>
      <c r="I142" s="400"/>
      <c r="J142" s="400">
        <f t="shared" si="6"/>
        <v>0</v>
      </c>
    </row>
    <row r="143" spans="1:10" ht="19.5" customHeight="1">
      <c r="A143" s="151"/>
      <c r="B143" s="545" t="s">
        <v>19</v>
      </c>
      <c r="C143" s="546"/>
      <c r="D143" s="519"/>
      <c r="E143" s="562"/>
      <c r="F143" s="517">
        <f t="shared" si="7"/>
        <v>0</v>
      </c>
      <c r="G143" s="400"/>
      <c r="H143" s="400">
        <f t="shared" si="8"/>
        <v>0</v>
      </c>
      <c r="I143" s="400"/>
      <c r="J143" s="400">
        <f t="shared" si="6"/>
        <v>0</v>
      </c>
    </row>
    <row r="144" spans="1:10" ht="19.5" customHeight="1">
      <c r="A144" s="151"/>
      <c r="B144" s="548" t="s">
        <v>22</v>
      </c>
      <c r="C144" s="546" t="s">
        <v>21</v>
      </c>
      <c r="D144" s="566">
        <f>D136/6</f>
        <v>2.0416666666666663E-2</v>
      </c>
      <c r="E144" s="562">
        <v>65000</v>
      </c>
      <c r="F144" s="517">
        <f t="shared" si="7"/>
        <v>1327.083333333333</v>
      </c>
      <c r="G144" s="400">
        <v>20000</v>
      </c>
      <c r="H144" s="400">
        <f t="shared" si="8"/>
        <v>408.33333333333326</v>
      </c>
      <c r="I144" s="400">
        <v>40000</v>
      </c>
      <c r="J144" s="400">
        <f t="shared" si="6"/>
        <v>816.66666666666652</v>
      </c>
    </row>
    <row r="145" spans="1:10" s="56" customFormat="1" ht="19.5" customHeight="1">
      <c r="A145" s="152"/>
      <c r="B145" s="545" t="s">
        <v>112</v>
      </c>
      <c r="C145" s="549"/>
      <c r="D145" s="536"/>
      <c r="E145" s="562"/>
      <c r="F145" s="517">
        <f t="shared" si="7"/>
        <v>0</v>
      </c>
      <c r="G145" s="406"/>
      <c r="H145" s="400">
        <f t="shared" si="8"/>
        <v>0</v>
      </c>
      <c r="I145" s="406"/>
      <c r="J145" s="400">
        <f t="shared" si="6"/>
        <v>0</v>
      </c>
    </row>
    <row r="146" spans="1:10" ht="19.5" customHeight="1">
      <c r="A146" s="152"/>
      <c r="B146" s="545"/>
      <c r="C146" s="549"/>
      <c r="D146" s="536"/>
      <c r="E146" s="562"/>
      <c r="F146" s="517">
        <f t="shared" si="7"/>
        <v>0</v>
      </c>
      <c r="G146" s="400"/>
      <c r="H146" s="400">
        <f t="shared" si="8"/>
        <v>0</v>
      </c>
      <c r="I146" s="400"/>
      <c r="J146" s="400">
        <f t="shared" si="6"/>
        <v>0</v>
      </c>
    </row>
    <row r="147" spans="1:10" ht="19.5" customHeight="1">
      <c r="A147" s="156"/>
      <c r="B147" s="563" t="s">
        <v>26</v>
      </c>
      <c r="C147" s="560" t="s">
        <v>21</v>
      </c>
      <c r="D147" s="567">
        <f>D144</f>
        <v>2.0416666666666663E-2</v>
      </c>
      <c r="E147" s="562">
        <v>55000</v>
      </c>
      <c r="F147" s="517">
        <f t="shared" si="7"/>
        <v>1122.9166666666665</v>
      </c>
      <c r="G147" s="400">
        <v>20000</v>
      </c>
      <c r="H147" s="400">
        <f t="shared" si="8"/>
        <v>408.33333333333326</v>
      </c>
      <c r="I147" s="400">
        <v>20000</v>
      </c>
      <c r="J147" s="400">
        <f t="shared" si="6"/>
        <v>408.33333333333326</v>
      </c>
    </row>
    <row r="148" spans="1:10" ht="19.5" customHeight="1">
      <c r="A148" s="157"/>
      <c r="B148" s="559" t="s">
        <v>113</v>
      </c>
      <c r="C148" s="564"/>
      <c r="D148" s="565"/>
      <c r="E148" s="562"/>
      <c r="F148" s="517">
        <f t="shared" si="7"/>
        <v>0</v>
      </c>
      <c r="G148" s="400"/>
      <c r="H148" s="400">
        <f t="shared" si="8"/>
        <v>0</v>
      </c>
      <c r="I148" s="400"/>
      <c r="J148" s="400">
        <f t="shared" si="6"/>
        <v>0</v>
      </c>
    </row>
    <row r="149" spans="1:10" s="63" customFormat="1" ht="19.5" customHeight="1">
      <c r="A149" s="141">
        <v>6.03</v>
      </c>
      <c r="B149" s="553" t="s">
        <v>104</v>
      </c>
      <c r="C149" s="554" t="s">
        <v>10</v>
      </c>
      <c r="D149" s="510">
        <f>(3*0.25*0.25)*10</f>
        <v>1.875</v>
      </c>
      <c r="E149" s="555">
        <v>295000</v>
      </c>
      <c r="F149" s="512">
        <f t="shared" si="7"/>
        <v>553125</v>
      </c>
      <c r="G149" s="403"/>
      <c r="H149" s="367">
        <f>SUBTOTAL(9,H150:H159)</f>
        <v>84687.5</v>
      </c>
      <c r="I149" s="403">
        <v>318000</v>
      </c>
      <c r="J149" s="403">
        <f t="shared" si="6"/>
        <v>596250</v>
      </c>
    </row>
    <row r="150" spans="1:10" ht="19.5" customHeight="1">
      <c r="A150" s="156"/>
      <c r="B150" s="559" t="s">
        <v>2</v>
      </c>
      <c r="C150" s="560"/>
      <c r="D150" s="568"/>
      <c r="E150" s="562"/>
      <c r="F150" s="517">
        <f t="shared" si="7"/>
        <v>0</v>
      </c>
      <c r="G150" s="400"/>
      <c r="H150" s="400">
        <f t="shared" si="8"/>
        <v>0</v>
      </c>
      <c r="I150" s="400"/>
      <c r="J150" s="400">
        <f t="shared" si="6"/>
        <v>0</v>
      </c>
    </row>
    <row r="151" spans="1:10" ht="19.5" customHeight="1">
      <c r="A151" s="156"/>
      <c r="B151" s="563" t="s">
        <v>99</v>
      </c>
      <c r="C151" s="560" t="s">
        <v>28</v>
      </c>
      <c r="D151" s="543">
        <f>D149*1.1</f>
        <v>2.0625</v>
      </c>
      <c r="E151" s="562">
        <v>250000</v>
      </c>
      <c r="F151" s="517">
        <f t="shared" si="7"/>
        <v>515625</v>
      </c>
      <c r="G151" s="400">
        <v>35000</v>
      </c>
      <c r="H151" s="400">
        <f t="shared" si="8"/>
        <v>72187.5</v>
      </c>
      <c r="I151" s="400">
        <v>280000</v>
      </c>
      <c r="J151" s="400">
        <f t="shared" si="6"/>
        <v>577500</v>
      </c>
    </row>
    <row r="152" spans="1:10" ht="19.5" customHeight="1">
      <c r="A152" s="157"/>
      <c r="B152" s="559" t="s">
        <v>100</v>
      </c>
      <c r="C152" s="564"/>
      <c r="D152" s="565"/>
      <c r="E152" s="562"/>
      <c r="F152" s="517">
        <f t="shared" si="7"/>
        <v>0</v>
      </c>
      <c r="G152" s="400"/>
      <c r="H152" s="400">
        <f t="shared" si="8"/>
        <v>0</v>
      </c>
      <c r="I152" s="400"/>
      <c r="J152" s="400">
        <f t="shared" si="6"/>
        <v>0</v>
      </c>
    </row>
    <row r="153" spans="1:10" ht="19.5" customHeight="1">
      <c r="A153" s="157"/>
      <c r="B153" s="559"/>
      <c r="C153" s="564"/>
      <c r="D153" s="565"/>
      <c r="E153" s="562"/>
      <c r="F153" s="517">
        <f t="shared" si="7"/>
        <v>0</v>
      </c>
      <c r="G153" s="400"/>
      <c r="H153" s="400">
        <f t="shared" si="8"/>
        <v>0</v>
      </c>
      <c r="I153" s="400"/>
      <c r="J153" s="400">
        <f t="shared" si="6"/>
        <v>0</v>
      </c>
    </row>
    <row r="154" spans="1:10" ht="19.5" customHeight="1">
      <c r="A154" s="151"/>
      <c r="B154" s="545" t="s">
        <v>19</v>
      </c>
      <c r="C154" s="546"/>
      <c r="D154" s="519"/>
      <c r="E154" s="562"/>
      <c r="F154" s="517">
        <f t="shared" si="7"/>
        <v>0</v>
      </c>
      <c r="G154" s="400"/>
      <c r="H154" s="400">
        <f t="shared" si="8"/>
        <v>0</v>
      </c>
      <c r="I154" s="400"/>
      <c r="J154" s="400">
        <f t="shared" si="6"/>
        <v>0</v>
      </c>
    </row>
    <row r="155" spans="1:10" ht="19.5" customHeight="1">
      <c r="A155" s="151"/>
      <c r="B155" s="548" t="s">
        <v>22</v>
      </c>
      <c r="C155" s="546" t="s">
        <v>21</v>
      </c>
      <c r="D155" s="519">
        <f>D149/6</f>
        <v>0.3125</v>
      </c>
      <c r="E155" s="562">
        <v>65000</v>
      </c>
      <c r="F155" s="517">
        <f t="shared" si="7"/>
        <v>20312.5</v>
      </c>
      <c r="G155" s="400">
        <v>20000</v>
      </c>
      <c r="H155" s="400">
        <f t="shared" si="8"/>
        <v>6250</v>
      </c>
      <c r="I155" s="400">
        <v>40000</v>
      </c>
      <c r="J155" s="400">
        <f t="shared" si="6"/>
        <v>12500</v>
      </c>
    </row>
    <row r="156" spans="1:10" s="56" customFormat="1" ht="19.5" customHeight="1">
      <c r="A156" s="152"/>
      <c r="B156" s="545" t="s">
        <v>112</v>
      </c>
      <c r="C156" s="549"/>
      <c r="D156" s="536"/>
      <c r="E156" s="562"/>
      <c r="F156" s="517">
        <f t="shared" si="7"/>
        <v>0</v>
      </c>
      <c r="G156" s="406"/>
      <c r="H156" s="400">
        <f t="shared" si="8"/>
        <v>0</v>
      </c>
      <c r="I156" s="406"/>
      <c r="J156" s="400">
        <f t="shared" si="6"/>
        <v>0</v>
      </c>
    </row>
    <row r="157" spans="1:10" ht="19.5" customHeight="1">
      <c r="A157" s="152"/>
      <c r="B157" s="545"/>
      <c r="C157" s="549"/>
      <c r="D157" s="536"/>
      <c r="E157" s="562"/>
      <c r="F157" s="517">
        <f t="shared" si="7"/>
        <v>0</v>
      </c>
      <c r="G157" s="400"/>
      <c r="H157" s="400">
        <f t="shared" si="8"/>
        <v>0</v>
      </c>
      <c r="I157" s="400"/>
      <c r="J157" s="400">
        <f t="shared" si="6"/>
        <v>0</v>
      </c>
    </row>
    <row r="158" spans="1:10" ht="19.5" customHeight="1">
      <c r="A158" s="156"/>
      <c r="B158" s="563" t="s">
        <v>26</v>
      </c>
      <c r="C158" s="560" t="s">
        <v>21</v>
      </c>
      <c r="D158" s="543">
        <f>D155</f>
        <v>0.3125</v>
      </c>
      <c r="E158" s="562">
        <v>55000</v>
      </c>
      <c r="F158" s="517">
        <f t="shared" si="7"/>
        <v>17187.5</v>
      </c>
      <c r="G158" s="400">
        <v>20000</v>
      </c>
      <c r="H158" s="400">
        <f t="shared" si="8"/>
        <v>6250</v>
      </c>
      <c r="I158" s="400">
        <v>20000</v>
      </c>
      <c r="J158" s="400">
        <f t="shared" si="6"/>
        <v>6250</v>
      </c>
    </row>
    <row r="159" spans="1:10" ht="19.5" customHeight="1">
      <c r="A159" s="157"/>
      <c r="B159" s="559" t="s">
        <v>113</v>
      </c>
      <c r="C159" s="564"/>
      <c r="D159" s="565"/>
      <c r="E159" s="562"/>
      <c r="F159" s="517">
        <f t="shared" si="7"/>
        <v>0</v>
      </c>
      <c r="G159" s="400"/>
      <c r="H159" s="400">
        <f t="shared" si="8"/>
        <v>0</v>
      </c>
      <c r="I159" s="400"/>
      <c r="J159" s="400">
        <f t="shared" si="6"/>
        <v>0</v>
      </c>
    </row>
    <row r="160" spans="1:10" ht="19.5" customHeight="1">
      <c r="A160" s="157"/>
      <c r="B160" s="559"/>
      <c r="C160" s="564"/>
      <c r="D160" s="565"/>
      <c r="E160" s="562"/>
      <c r="F160" s="517">
        <f t="shared" si="7"/>
        <v>0</v>
      </c>
      <c r="G160" s="400"/>
      <c r="H160" s="400">
        <f t="shared" si="8"/>
        <v>0</v>
      </c>
      <c r="I160" s="400"/>
      <c r="J160" s="400">
        <f t="shared" si="6"/>
        <v>0</v>
      </c>
    </row>
    <row r="161" spans="1:10" s="60" customFormat="1" ht="19.5" customHeight="1">
      <c r="A161" s="148">
        <v>7</v>
      </c>
      <c r="B161" s="539" t="s">
        <v>73</v>
      </c>
      <c r="C161" s="539"/>
      <c r="D161" s="539"/>
      <c r="E161" s="540"/>
      <c r="F161" s="517">
        <f t="shared" si="7"/>
        <v>0</v>
      </c>
      <c r="G161" s="407"/>
      <c r="H161" s="400">
        <f t="shared" si="8"/>
        <v>0</v>
      </c>
      <c r="I161" s="407"/>
      <c r="J161" s="400">
        <f t="shared" si="6"/>
        <v>0</v>
      </c>
    </row>
    <row r="162" spans="1:10" s="56" customFormat="1" ht="19.5" customHeight="1">
      <c r="A162" s="147">
        <v>7.01</v>
      </c>
      <c r="B162" s="508" t="s">
        <v>71</v>
      </c>
      <c r="C162" s="509" t="s">
        <v>28</v>
      </c>
      <c r="D162" s="510">
        <f>0.4*0.8*44</f>
        <v>14.080000000000002</v>
      </c>
      <c r="E162" s="512">
        <v>98403.124999999985</v>
      </c>
      <c r="F162" s="512">
        <f t="shared" si="7"/>
        <v>1385516</v>
      </c>
      <c r="G162" s="408"/>
      <c r="H162" s="367">
        <f>SUBTOTAL(9,H163:H172)</f>
        <v>1102124.9756862747</v>
      </c>
      <c r="I162" s="408">
        <v>87826.431372549036</v>
      </c>
      <c r="J162" s="403">
        <f t="shared" si="6"/>
        <v>1236596.1537254907</v>
      </c>
    </row>
    <row r="163" spans="1:10" ht="19.5" customHeight="1">
      <c r="A163" s="145"/>
      <c r="B163" s="513" t="s">
        <v>29</v>
      </c>
      <c r="C163" s="514"/>
      <c r="D163" s="569"/>
      <c r="E163" s="517"/>
      <c r="F163" s="517">
        <f t="shared" si="7"/>
        <v>0</v>
      </c>
      <c r="G163" s="400"/>
      <c r="H163" s="400">
        <f t="shared" si="8"/>
        <v>0</v>
      </c>
      <c r="I163" s="400"/>
      <c r="J163" s="400">
        <f t="shared" si="6"/>
        <v>0</v>
      </c>
    </row>
    <row r="164" spans="1:10" ht="19.5" customHeight="1">
      <c r="A164" s="145"/>
      <c r="B164" s="518" t="s">
        <v>30</v>
      </c>
      <c r="C164" s="514" t="s">
        <v>28</v>
      </c>
      <c r="D164" s="516">
        <f>D162*(10/17)*1.57</f>
        <v>13.00329411764706</v>
      </c>
      <c r="E164" s="517">
        <v>33500</v>
      </c>
      <c r="F164" s="517">
        <f t="shared" si="7"/>
        <v>435610.3529411765</v>
      </c>
      <c r="G164" s="400">
        <v>15000</v>
      </c>
      <c r="H164" s="400">
        <f t="shared" si="8"/>
        <v>195049.4117647059</v>
      </c>
      <c r="I164" s="400">
        <v>25000</v>
      </c>
      <c r="J164" s="400">
        <f t="shared" si="6"/>
        <v>325082.3529411765</v>
      </c>
    </row>
    <row r="165" spans="1:10" ht="19.5" customHeight="1">
      <c r="A165" s="145"/>
      <c r="B165" s="518" t="s">
        <v>11</v>
      </c>
      <c r="C165" s="514" t="s">
        <v>31</v>
      </c>
      <c r="D165" s="519">
        <f>D162*(1/17)*1.57*(1440/50)</f>
        <v>37.449487058823536</v>
      </c>
      <c r="E165" s="517">
        <v>11200</v>
      </c>
      <c r="F165" s="517">
        <f t="shared" si="7"/>
        <v>419434.25505882362</v>
      </c>
      <c r="G165" s="400">
        <v>14000</v>
      </c>
      <c r="H165" s="400">
        <f t="shared" si="8"/>
        <v>524292.81882352952</v>
      </c>
      <c r="I165" s="400">
        <v>13500</v>
      </c>
      <c r="J165" s="400">
        <f t="shared" si="6"/>
        <v>505568.07529411773</v>
      </c>
    </row>
    <row r="166" spans="1:10" ht="19.5" customHeight="1">
      <c r="A166" s="145"/>
      <c r="B166" s="518" t="s">
        <v>32</v>
      </c>
      <c r="C166" s="514" t="s">
        <v>28</v>
      </c>
      <c r="D166" s="519">
        <f>D162*(6/17)*1.57</f>
        <v>7.8019764705882375</v>
      </c>
      <c r="E166" s="517">
        <v>32500</v>
      </c>
      <c r="F166" s="517">
        <f t="shared" si="7"/>
        <v>253564.23529411771</v>
      </c>
      <c r="G166" s="400">
        <v>25000</v>
      </c>
      <c r="H166" s="400">
        <f t="shared" si="8"/>
        <v>195049.41176470593</v>
      </c>
      <c r="I166" s="400">
        <v>40000</v>
      </c>
      <c r="J166" s="400">
        <f t="shared" si="6"/>
        <v>312079.05882352951</v>
      </c>
    </row>
    <row r="167" spans="1:10" s="61" customFormat="1" ht="19.5" customHeight="1">
      <c r="A167" s="145"/>
      <c r="B167" s="513" t="s">
        <v>5</v>
      </c>
      <c r="C167" s="514"/>
      <c r="D167" s="516"/>
      <c r="E167" s="517"/>
      <c r="F167" s="517">
        <f t="shared" si="7"/>
        <v>0</v>
      </c>
      <c r="G167" s="404"/>
      <c r="H167" s="400">
        <f t="shared" si="8"/>
        <v>0</v>
      </c>
      <c r="I167" s="404"/>
      <c r="J167" s="400">
        <f t="shared" si="6"/>
        <v>0</v>
      </c>
    </row>
    <row r="168" spans="1:10" ht="19.5" customHeight="1">
      <c r="A168" s="145"/>
      <c r="B168" s="518"/>
      <c r="C168" s="514"/>
      <c r="D168" s="516"/>
      <c r="E168" s="517"/>
      <c r="F168" s="517">
        <f t="shared" si="7"/>
        <v>0</v>
      </c>
      <c r="G168" s="400"/>
      <c r="H168" s="400">
        <f t="shared" si="8"/>
        <v>0</v>
      </c>
      <c r="I168" s="400"/>
      <c r="J168" s="400">
        <f t="shared" si="6"/>
        <v>0</v>
      </c>
    </row>
    <row r="169" spans="1:10" ht="19.5" customHeight="1">
      <c r="A169" s="142"/>
      <c r="B169" s="513" t="s">
        <v>33</v>
      </c>
      <c r="C169" s="514"/>
      <c r="D169" s="516"/>
      <c r="E169" s="517"/>
      <c r="F169" s="517">
        <f t="shared" si="7"/>
        <v>0</v>
      </c>
      <c r="G169" s="400"/>
      <c r="H169" s="400">
        <f t="shared" si="8"/>
        <v>0</v>
      </c>
      <c r="I169" s="400"/>
      <c r="J169" s="400">
        <f t="shared" si="6"/>
        <v>0</v>
      </c>
    </row>
    <row r="170" spans="1:10" ht="19.5" customHeight="1">
      <c r="A170" s="142"/>
      <c r="B170" s="518" t="s">
        <v>34</v>
      </c>
      <c r="C170" s="514" t="s">
        <v>21</v>
      </c>
      <c r="D170" s="516">
        <f>D162/1.5</f>
        <v>9.3866666666666685</v>
      </c>
      <c r="E170" s="517">
        <v>12500</v>
      </c>
      <c r="F170" s="517">
        <f t="shared" si="7"/>
        <v>117333.33333333336</v>
      </c>
      <c r="G170" s="400">
        <v>10000</v>
      </c>
      <c r="H170" s="400">
        <f t="shared" si="8"/>
        <v>93866.666666666686</v>
      </c>
      <c r="I170" s="400">
        <v>5000</v>
      </c>
      <c r="J170" s="400">
        <f t="shared" si="6"/>
        <v>46933.333333333343</v>
      </c>
    </row>
    <row r="171" spans="1:10" ht="19.5" customHeight="1">
      <c r="A171" s="142"/>
      <c r="B171" s="518" t="s">
        <v>7</v>
      </c>
      <c r="C171" s="514" t="s">
        <v>21</v>
      </c>
      <c r="D171" s="516">
        <f>+D170*2</f>
        <v>18.773333333333337</v>
      </c>
      <c r="E171" s="517">
        <v>8500</v>
      </c>
      <c r="F171" s="517">
        <f t="shared" si="7"/>
        <v>159573.33333333337</v>
      </c>
      <c r="G171" s="400">
        <v>5000</v>
      </c>
      <c r="H171" s="400">
        <f t="shared" si="8"/>
        <v>93866.666666666686</v>
      </c>
      <c r="I171" s="400">
        <v>2500</v>
      </c>
      <c r="J171" s="400">
        <f t="shared" si="6"/>
        <v>46933.333333333343</v>
      </c>
    </row>
    <row r="172" spans="1:10" ht="19.5" customHeight="1">
      <c r="A172" s="152"/>
      <c r="B172" s="545" t="s">
        <v>9</v>
      </c>
      <c r="C172" s="549"/>
      <c r="D172" s="536"/>
      <c r="E172" s="517"/>
      <c r="F172" s="517">
        <f t="shared" si="7"/>
        <v>0</v>
      </c>
      <c r="G172" s="400"/>
      <c r="H172" s="400">
        <f t="shared" si="8"/>
        <v>0</v>
      </c>
      <c r="I172" s="400"/>
      <c r="J172" s="400">
        <f t="shared" si="6"/>
        <v>0</v>
      </c>
    </row>
    <row r="173" spans="1:10" ht="19.5" customHeight="1">
      <c r="A173" s="141">
        <v>8.01</v>
      </c>
      <c r="B173" s="508" t="s">
        <v>35</v>
      </c>
      <c r="C173" s="509" t="s">
        <v>36</v>
      </c>
      <c r="D173" s="510">
        <f>44*0.25</f>
        <v>11</v>
      </c>
      <c r="E173" s="512">
        <v>980</v>
      </c>
      <c r="F173" s="512">
        <f t="shared" si="7"/>
        <v>10780</v>
      </c>
      <c r="G173" s="403"/>
      <c r="H173" s="367">
        <f>SUBTOTAL(9,H174:H183)</f>
        <v>29700</v>
      </c>
      <c r="I173" s="403">
        <v>4500</v>
      </c>
      <c r="J173" s="403">
        <f t="shared" si="6"/>
        <v>49500</v>
      </c>
    </row>
    <row r="174" spans="1:10" ht="19.5" customHeight="1">
      <c r="A174" s="145"/>
      <c r="B174" s="513" t="s">
        <v>29</v>
      </c>
      <c r="C174" s="514"/>
      <c r="D174" s="516"/>
      <c r="E174" s="517"/>
      <c r="F174" s="517">
        <f t="shared" si="7"/>
        <v>0</v>
      </c>
      <c r="G174" s="400"/>
      <c r="H174" s="400">
        <f t="shared" si="8"/>
        <v>0</v>
      </c>
      <c r="I174" s="400"/>
      <c r="J174" s="400">
        <f t="shared" si="6"/>
        <v>0</v>
      </c>
    </row>
    <row r="175" spans="1:10" ht="19.5" customHeight="1">
      <c r="A175" s="142"/>
      <c r="B175" s="518" t="s">
        <v>37</v>
      </c>
      <c r="C175" s="514" t="s">
        <v>38</v>
      </c>
      <c r="D175" s="516">
        <f>D173</f>
        <v>11</v>
      </c>
      <c r="E175" s="517">
        <v>500</v>
      </c>
      <c r="F175" s="517">
        <f t="shared" si="7"/>
        <v>5500</v>
      </c>
      <c r="G175" s="400">
        <v>2500</v>
      </c>
      <c r="H175" s="400">
        <f t="shared" si="8"/>
        <v>27500</v>
      </c>
      <c r="I175" s="400">
        <v>4000</v>
      </c>
      <c r="J175" s="400">
        <f t="shared" si="6"/>
        <v>44000</v>
      </c>
    </row>
    <row r="176" spans="1:10" ht="19.5" customHeight="1">
      <c r="A176" s="148"/>
      <c r="B176" s="513" t="s">
        <v>5</v>
      </c>
      <c r="C176" s="535"/>
      <c r="D176" s="537"/>
      <c r="E176" s="517"/>
      <c r="F176" s="517">
        <f t="shared" si="7"/>
        <v>0</v>
      </c>
      <c r="G176" s="400"/>
      <c r="H176" s="400">
        <f t="shared" si="8"/>
        <v>0</v>
      </c>
      <c r="I176" s="400"/>
      <c r="J176" s="400">
        <f t="shared" si="6"/>
        <v>0</v>
      </c>
    </row>
    <row r="177" spans="1:10" s="56" customFormat="1" ht="19.5" customHeight="1">
      <c r="A177" s="142"/>
      <c r="B177" s="518"/>
      <c r="C177" s="514"/>
      <c r="D177" s="516"/>
      <c r="E177" s="517"/>
      <c r="F177" s="517">
        <f t="shared" si="7"/>
        <v>0</v>
      </c>
      <c r="G177" s="406"/>
      <c r="H177" s="400">
        <f t="shared" si="8"/>
        <v>0</v>
      </c>
      <c r="I177" s="406"/>
      <c r="J177" s="400">
        <f t="shared" si="6"/>
        <v>0</v>
      </c>
    </row>
    <row r="178" spans="1:10" ht="19.5" customHeight="1">
      <c r="A178" s="158"/>
      <c r="B178" s="513" t="s">
        <v>33</v>
      </c>
      <c r="C178" s="514"/>
      <c r="D178" s="516"/>
      <c r="E178" s="517"/>
      <c r="F178" s="517">
        <f t="shared" si="7"/>
        <v>0</v>
      </c>
      <c r="G178" s="400"/>
      <c r="H178" s="400">
        <f t="shared" si="8"/>
        <v>0</v>
      </c>
      <c r="I178" s="400"/>
      <c r="J178" s="400">
        <f t="shared" si="6"/>
        <v>0</v>
      </c>
    </row>
    <row r="179" spans="1:10" ht="19.5" customHeight="1">
      <c r="A179" s="142"/>
      <c r="B179" s="518" t="s">
        <v>34</v>
      </c>
      <c r="C179" s="514" t="s">
        <v>21</v>
      </c>
      <c r="D179" s="519">
        <f>D173/100</f>
        <v>0.11</v>
      </c>
      <c r="E179" s="517">
        <v>18000</v>
      </c>
      <c r="F179" s="517">
        <f t="shared" si="7"/>
        <v>1980</v>
      </c>
      <c r="G179" s="400">
        <v>10000</v>
      </c>
      <c r="H179" s="400">
        <f t="shared" si="8"/>
        <v>1100</v>
      </c>
      <c r="I179" s="400">
        <v>30000</v>
      </c>
      <c r="J179" s="400">
        <f t="shared" si="6"/>
        <v>3300</v>
      </c>
    </row>
    <row r="180" spans="1:10" ht="19.5" customHeight="1">
      <c r="A180" s="142"/>
      <c r="B180" s="518" t="s">
        <v>7</v>
      </c>
      <c r="C180" s="514" t="s">
        <v>21</v>
      </c>
      <c r="D180" s="519">
        <f>+D179*2</f>
        <v>0.22</v>
      </c>
      <c r="E180" s="517">
        <v>15000</v>
      </c>
      <c r="F180" s="517">
        <f t="shared" si="7"/>
        <v>3300</v>
      </c>
      <c r="G180" s="400">
        <v>5000</v>
      </c>
      <c r="H180" s="400">
        <f t="shared" si="8"/>
        <v>1100</v>
      </c>
      <c r="I180" s="400">
        <v>10000</v>
      </c>
      <c r="J180" s="400">
        <f t="shared" si="6"/>
        <v>2200</v>
      </c>
    </row>
    <row r="181" spans="1:10" ht="19.5" customHeight="1">
      <c r="A181" s="148"/>
      <c r="B181" s="513" t="s">
        <v>39</v>
      </c>
      <c r="C181" s="535"/>
      <c r="D181" s="537"/>
      <c r="E181" s="570"/>
      <c r="F181" s="517">
        <f t="shared" si="7"/>
        <v>0</v>
      </c>
      <c r="G181" s="400"/>
      <c r="H181" s="400">
        <f t="shared" si="8"/>
        <v>0</v>
      </c>
      <c r="I181" s="400"/>
      <c r="J181" s="400">
        <f t="shared" si="6"/>
        <v>0</v>
      </c>
    </row>
    <row r="182" spans="1:10" ht="19.5" customHeight="1">
      <c r="A182" s="148"/>
      <c r="B182" s="513"/>
      <c r="C182" s="535"/>
      <c r="D182" s="537"/>
      <c r="E182" s="570"/>
      <c r="F182" s="517">
        <f t="shared" si="7"/>
        <v>0</v>
      </c>
      <c r="G182" s="400"/>
      <c r="H182" s="400">
        <f t="shared" si="8"/>
        <v>0</v>
      </c>
      <c r="I182" s="400"/>
      <c r="J182" s="400">
        <f t="shared" si="6"/>
        <v>0</v>
      </c>
    </row>
    <row r="183" spans="1:10" s="60" customFormat="1" ht="19.5" customHeight="1">
      <c r="A183" s="152">
        <v>9</v>
      </c>
      <c r="B183" s="551" t="s">
        <v>72</v>
      </c>
      <c r="C183" s="551"/>
      <c r="D183" s="551"/>
      <c r="E183" s="552"/>
      <c r="F183" s="517">
        <f t="shared" si="7"/>
        <v>0</v>
      </c>
      <c r="G183" s="407"/>
      <c r="H183" s="400">
        <f t="shared" si="8"/>
        <v>0</v>
      </c>
      <c r="I183" s="407"/>
      <c r="J183" s="400">
        <f t="shared" si="6"/>
        <v>0</v>
      </c>
    </row>
    <row r="184" spans="1:10" s="56" customFormat="1" ht="19.5" customHeight="1">
      <c r="A184" s="141">
        <v>9.01</v>
      </c>
      <c r="B184" s="508" t="s">
        <v>40</v>
      </c>
      <c r="C184" s="509" t="s">
        <v>1</v>
      </c>
      <c r="D184" s="571">
        <f>(44*3)-((0.9*2.1*2)+(1*1.5*2))</f>
        <v>125.22</v>
      </c>
      <c r="E184" s="512">
        <v>17519.948889953681</v>
      </c>
      <c r="F184" s="512">
        <f t="shared" si="7"/>
        <v>2193848</v>
      </c>
      <c r="G184" s="408"/>
      <c r="H184" s="367">
        <f>SUBTOTAL(9,H185:H194)</f>
        <v>2427994.9893319793</v>
      </c>
      <c r="I184" s="408">
        <v>18861.190048479115</v>
      </c>
      <c r="J184" s="403">
        <f t="shared" si="6"/>
        <v>2361798.2178705549</v>
      </c>
    </row>
    <row r="185" spans="1:10" ht="19.5" customHeight="1">
      <c r="A185" s="150"/>
      <c r="B185" s="572"/>
      <c r="C185" s="542" t="s">
        <v>28</v>
      </c>
      <c r="D185" s="567">
        <f>D184*0.2</f>
        <v>25.044</v>
      </c>
      <c r="E185" s="544"/>
      <c r="F185" s="517">
        <f t="shared" si="7"/>
        <v>0</v>
      </c>
      <c r="G185" s="400"/>
      <c r="H185" s="400">
        <f t="shared" si="8"/>
        <v>0</v>
      </c>
      <c r="I185" s="400">
        <v>94305.950242395571</v>
      </c>
      <c r="J185" s="400">
        <f t="shared" si="6"/>
        <v>2361798.2178705549</v>
      </c>
    </row>
    <row r="186" spans="1:10" ht="19.5" customHeight="1">
      <c r="A186" s="142"/>
      <c r="B186" s="513" t="s">
        <v>2</v>
      </c>
      <c r="C186" s="514"/>
      <c r="D186" s="516"/>
      <c r="E186" s="517"/>
      <c r="F186" s="517">
        <f t="shared" si="7"/>
        <v>0</v>
      </c>
      <c r="G186" s="400"/>
      <c r="H186" s="400">
        <f t="shared" si="8"/>
        <v>0</v>
      </c>
      <c r="I186" s="400"/>
      <c r="J186" s="400">
        <f t="shared" si="6"/>
        <v>0</v>
      </c>
    </row>
    <row r="187" spans="1:10" ht="19.5" customHeight="1">
      <c r="A187" s="142"/>
      <c r="B187" s="534" t="s">
        <v>41</v>
      </c>
      <c r="C187" s="514" t="s">
        <v>31</v>
      </c>
      <c r="D187" s="519">
        <f>D185*0.2439*(1/7)*1.54*(1440/50)</f>
        <v>38.701755417599998</v>
      </c>
      <c r="E187" s="517">
        <v>11200</v>
      </c>
      <c r="F187" s="517">
        <f t="shared" si="7"/>
        <v>433459.66067711997</v>
      </c>
      <c r="G187" s="400">
        <v>14000</v>
      </c>
      <c r="H187" s="400">
        <f t="shared" si="8"/>
        <v>541824.5758464</v>
      </c>
      <c r="I187" s="400">
        <v>13500</v>
      </c>
      <c r="J187" s="400">
        <f t="shared" si="6"/>
        <v>522473.69813759997</v>
      </c>
    </row>
    <row r="188" spans="1:10" ht="19.5" customHeight="1">
      <c r="A188" s="142"/>
      <c r="B188" s="534" t="s">
        <v>42</v>
      </c>
      <c r="C188" s="514" t="s">
        <v>28</v>
      </c>
      <c r="D188" s="519">
        <f>D185*0.2439*(6/7)*1.54</f>
        <v>8.0628657120000007</v>
      </c>
      <c r="E188" s="517">
        <v>30500</v>
      </c>
      <c r="F188" s="517">
        <f t="shared" si="7"/>
        <v>245917.40421600002</v>
      </c>
      <c r="G188" s="400">
        <v>25000</v>
      </c>
      <c r="H188" s="400">
        <f t="shared" si="8"/>
        <v>201571.64280000003</v>
      </c>
      <c r="I188" s="400">
        <v>40000</v>
      </c>
      <c r="J188" s="400">
        <f t="shared" si="6"/>
        <v>322514.62848000001</v>
      </c>
    </row>
    <row r="189" spans="1:10" ht="19.5" customHeight="1">
      <c r="A189" s="142"/>
      <c r="B189" s="534" t="s">
        <v>43</v>
      </c>
      <c r="C189" s="514" t="s">
        <v>44</v>
      </c>
      <c r="D189" s="519">
        <f>D185*1.15/(0.235*0.1125*0.075)</f>
        <v>14525.125295508276</v>
      </c>
      <c r="E189" s="517">
        <v>58</v>
      </c>
      <c r="F189" s="517">
        <f t="shared" si="7"/>
        <v>842457.26713947998</v>
      </c>
      <c r="G189" s="400">
        <v>70</v>
      </c>
      <c r="H189" s="400">
        <f t="shared" si="8"/>
        <v>1016758.7706855794</v>
      </c>
      <c r="I189" s="400">
        <v>55</v>
      </c>
      <c r="J189" s="400">
        <f t="shared" si="6"/>
        <v>798881.89125295519</v>
      </c>
    </row>
    <row r="190" spans="1:10" ht="19.5" customHeight="1">
      <c r="A190" s="148"/>
      <c r="B190" s="520" t="s">
        <v>5</v>
      </c>
      <c r="C190" s="535"/>
      <c r="D190" s="536"/>
      <c r="E190" s="517"/>
      <c r="F190" s="517">
        <f t="shared" si="7"/>
        <v>0</v>
      </c>
      <c r="G190" s="400"/>
      <c r="H190" s="400">
        <f t="shared" si="8"/>
        <v>0</v>
      </c>
      <c r="I190" s="400"/>
      <c r="J190" s="400">
        <f t="shared" si="6"/>
        <v>0</v>
      </c>
    </row>
    <row r="191" spans="1:10" ht="19.5" customHeight="1">
      <c r="A191" s="142"/>
      <c r="B191" s="534"/>
      <c r="C191" s="514"/>
      <c r="D191" s="519"/>
      <c r="E191" s="517"/>
      <c r="F191" s="517">
        <f t="shared" si="7"/>
        <v>0</v>
      </c>
      <c r="G191" s="400"/>
      <c r="H191" s="400">
        <f t="shared" si="8"/>
        <v>0</v>
      </c>
      <c r="I191" s="400"/>
      <c r="J191" s="400">
        <f t="shared" si="6"/>
        <v>0</v>
      </c>
    </row>
    <row r="192" spans="1:10" ht="19.5" customHeight="1">
      <c r="A192" s="142"/>
      <c r="B192" s="513" t="s">
        <v>6</v>
      </c>
      <c r="C192" s="514"/>
      <c r="D192" s="516"/>
      <c r="E192" s="517"/>
      <c r="F192" s="517">
        <f t="shared" si="7"/>
        <v>0</v>
      </c>
      <c r="G192" s="400"/>
      <c r="H192" s="400">
        <f t="shared" si="8"/>
        <v>0</v>
      </c>
      <c r="I192" s="400"/>
      <c r="J192" s="400">
        <f t="shared" si="6"/>
        <v>0</v>
      </c>
    </row>
    <row r="193" spans="1:10" ht="19.5" customHeight="1">
      <c r="A193" s="142"/>
      <c r="B193" s="518" t="s">
        <v>34</v>
      </c>
      <c r="C193" s="514" t="s">
        <v>8</v>
      </c>
      <c r="D193" s="516">
        <f>D185/1</f>
        <v>25.044</v>
      </c>
      <c r="E193" s="517">
        <v>8500</v>
      </c>
      <c r="F193" s="517">
        <f t="shared" si="7"/>
        <v>212874</v>
      </c>
      <c r="G193" s="400">
        <v>10000</v>
      </c>
      <c r="H193" s="400">
        <f t="shared" si="8"/>
        <v>250440</v>
      </c>
      <c r="I193" s="400">
        <v>12000</v>
      </c>
      <c r="J193" s="400">
        <f t="shared" si="6"/>
        <v>300528</v>
      </c>
    </row>
    <row r="194" spans="1:10" ht="19.5" customHeight="1">
      <c r="A194" s="142"/>
      <c r="B194" s="518" t="s">
        <v>7</v>
      </c>
      <c r="C194" s="514" t="s">
        <v>8</v>
      </c>
      <c r="D194" s="519">
        <f>(D185/1.2)*4</f>
        <v>83.48</v>
      </c>
      <c r="E194" s="517">
        <v>5500</v>
      </c>
      <c r="F194" s="517">
        <f t="shared" si="7"/>
        <v>459140</v>
      </c>
      <c r="G194" s="400">
        <v>5000</v>
      </c>
      <c r="H194" s="400">
        <f t="shared" si="8"/>
        <v>417400</v>
      </c>
      <c r="I194" s="400">
        <v>5000</v>
      </c>
      <c r="J194" s="400">
        <f t="shared" si="6"/>
        <v>417400</v>
      </c>
    </row>
    <row r="195" spans="1:10" ht="19.5" customHeight="1">
      <c r="A195" s="144"/>
      <c r="B195" s="520" t="s">
        <v>9</v>
      </c>
      <c r="C195" s="521"/>
      <c r="D195" s="573"/>
      <c r="E195" s="526"/>
      <c r="F195" s="517">
        <f t="shared" si="7"/>
        <v>0</v>
      </c>
      <c r="G195" s="400"/>
      <c r="H195" s="400">
        <f t="shared" si="8"/>
        <v>0</v>
      </c>
      <c r="I195" s="400"/>
      <c r="J195" s="400">
        <f t="shared" si="6"/>
        <v>0</v>
      </c>
    </row>
    <row r="196" spans="1:10" ht="19.5" customHeight="1">
      <c r="A196" s="144"/>
      <c r="B196" s="520"/>
      <c r="C196" s="521"/>
      <c r="D196" s="573"/>
      <c r="E196" s="526"/>
      <c r="F196" s="517">
        <f t="shared" si="7"/>
        <v>0</v>
      </c>
      <c r="G196" s="400"/>
      <c r="H196" s="400">
        <f t="shared" si="8"/>
        <v>0</v>
      </c>
      <c r="I196" s="400"/>
      <c r="J196" s="400">
        <f t="shared" si="6"/>
        <v>0</v>
      </c>
    </row>
    <row r="197" spans="1:10" s="60" customFormat="1" ht="19.5" customHeight="1">
      <c r="A197" s="144">
        <v>10</v>
      </c>
      <c r="B197" s="531" t="s">
        <v>79</v>
      </c>
      <c r="C197" s="531"/>
      <c r="D197" s="531"/>
      <c r="E197" s="532"/>
      <c r="F197" s="517">
        <f t="shared" si="7"/>
        <v>0</v>
      </c>
      <c r="G197" s="407"/>
      <c r="H197" s="400">
        <f t="shared" si="8"/>
        <v>0</v>
      </c>
      <c r="I197" s="407"/>
      <c r="J197" s="400">
        <f t="shared" ref="J197:J260" si="9">D197*I197</f>
        <v>0</v>
      </c>
    </row>
    <row r="198" spans="1:10" ht="19.5" customHeight="1">
      <c r="A198" s="141">
        <v>10.01</v>
      </c>
      <c r="B198" s="533" t="s">
        <v>74</v>
      </c>
      <c r="C198" s="574" t="s">
        <v>45</v>
      </c>
      <c r="D198" s="575">
        <f>10*0.25*0.2</f>
        <v>0.5</v>
      </c>
      <c r="E198" s="512">
        <v>176678</v>
      </c>
      <c r="F198" s="512">
        <f t="shared" si="7"/>
        <v>88339</v>
      </c>
      <c r="G198" s="403"/>
      <c r="H198" s="367">
        <f>SUBTOTAL(9,H199:H216)</f>
        <v>80174.989547038334</v>
      </c>
      <c r="I198" s="403">
        <v>300000</v>
      </c>
      <c r="J198" s="403">
        <f t="shared" si="9"/>
        <v>150000</v>
      </c>
    </row>
    <row r="199" spans="1:10" ht="19.5" customHeight="1">
      <c r="A199" s="158"/>
      <c r="B199" s="576" t="s">
        <v>29</v>
      </c>
      <c r="C199" s="577"/>
      <c r="D199" s="578"/>
      <c r="E199" s="579"/>
      <c r="F199" s="517">
        <f t="shared" si="7"/>
        <v>0</v>
      </c>
      <c r="G199" s="400"/>
      <c r="H199" s="400">
        <f t="shared" si="8"/>
        <v>0</v>
      </c>
      <c r="I199" s="400"/>
      <c r="J199" s="400">
        <f t="shared" si="9"/>
        <v>0</v>
      </c>
    </row>
    <row r="200" spans="1:10" ht="16.5">
      <c r="A200" s="158"/>
      <c r="B200" s="580" t="s">
        <v>14</v>
      </c>
      <c r="C200" s="581" t="s">
        <v>45</v>
      </c>
      <c r="D200" s="578">
        <f>D198*(4/7)*1.57</f>
        <v>0.44857142857142857</v>
      </c>
      <c r="E200" s="579">
        <v>48000</v>
      </c>
      <c r="F200" s="517">
        <f t="shared" ref="F200:F263" si="10">D200*E200</f>
        <v>21531.428571428572</v>
      </c>
      <c r="G200" s="400">
        <v>27000</v>
      </c>
      <c r="H200" s="400">
        <f t="shared" ref="H200:H263" si="11">D200*G200</f>
        <v>12111.428571428571</v>
      </c>
      <c r="I200" s="400">
        <v>48312</v>
      </c>
      <c r="J200" s="400">
        <f t="shared" si="9"/>
        <v>21671.382857142857</v>
      </c>
    </row>
    <row r="201" spans="1:10" ht="16.5">
      <c r="A201" s="158"/>
      <c r="B201" s="580" t="s">
        <v>13</v>
      </c>
      <c r="C201" s="581" t="s">
        <v>45</v>
      </c>
      <c r="D201" s="578">
        <f>D198*(2/7)*1.54</f>
        <v>0.22</v>
      </c>
      <c r="E201" s="579">
        <v>36500</v>
      </c>
      <c r="F201" s="517">
        <f t="shared" si="10"/>
        <v>8030</v>
      </c>
      <c r="G201" s="400">
        <v>25000</v>
      </c>
      <c r="H201" s="400">
        <f t="shared" si="11"/>
        <v>5500</v>
      </c>
      <c r="I201" s="400">
        <v>40000</v>
      </c>
      <c r="J201" s="400">
        <f t="shared" si="9"/>
        <v>8800</v>
      </c>
    </row>
    <row r="202" spans="1:10" ht="16.5">
      <c r="A202" s="158"/>
      <c r="B202" s="580" t="s">
        <v>11</v>
      </c>
      <c r="C202" s="577" t="s">
        <v>12</v>
      </c>
      <c r="D202" s="578">
        <f>D198*(1/7)*1.57*(1440/50)</f>
        <v>3.2297142857142855</v>
      </c>
      <c r="E202" s="579">
        <v>11200</v>
      </c>
      <c r="F202" s="517">
        <f t="shared" si="10"/>
        <v>36172.799999999996</v>
      </c>
      <c r="G202" s="400">
        <v>14000</v>
      </c>
      <c r="H202" s="400">
        <f t="shared" si="11"/>
        <v>45216</v>
      </c>
      <c r="I202" s="400">
        <v>13500</v>
      </c>
      <c r="J202" s="400">
        <f t="shared" si="9"/>
        <v>43601.142857142855</v>
      </c>
    </row>
    <row r="203" spans="1:10" ht="16.5">
      <c r="A203" s="156"/>
      <c r="B203" s="563" t="s">
        <v>15</v>
      </c>
      <c r="C203" s="560" t="s">
        <v>16</v>
      </c>
      <c r="D203" s="543">
        <f>D208*10</f>
        <v>0.83333333333333326</v>
      </c>
      <c r="E203" s="579">
        <v>2200</v>
      </c>
      <c r="F203" s="517">
        <f t="shared" si="10"/>
        <v>1833.3333333333333</v>
      </c>
      <c r="G203" s="400">
        <v>2000</v>
      </c>
      <c r="H203" s="400">
        <f t="shared" si="11"/>
        <v>1666.6666666666665</v>
      </c>
      <c r="I203" s="400">
        <v>2000</v>
      </c>
      <c r="J203" s="400">
        <f t="shared" si="9"/>
        <v>1666.6666666666665</v>
      </c>
    </row>
    <row r="204" spans="1:10" ht="16.5">
      <c r="A204" s="156"/>
      <c r="B204" s="563" t="s">
        <v>17</v>
      </c>
      <c r="C204" s="560" t="s">
        <v>16</v>
      </c>
      <c r="D204" s="543">
        <f>D209*5</f>
        <v>0.41666666666666663</v>
      </c>
      <c r="E204" s="579">
        <v>1900</v>
      </c>
      <c r="F204" s="517">
        <f t="shared" si="10"/>
        <v>791.66666666666663</v>
      </c>
      <c r="G204" s="400">
        <v>3000</v>
      </c>
      <c r="H204" s="400">
        <f t="shared" si="11"/>
        <v>1250</v>
      </c>
      <c r="I204" s="400">
        <v>3000</v>
      </c>
      <c r="J204" s="400">
        <f t="shared" si="9"/>
        <v>1250</v>
      </c>
    </row>
    <row r="205" spans="1:10" ht="18">
      <c r="A205" s="158"/>
      <c r="B205" s="576" t="s">
        <v>5</v>
      </c>
      <c r="C205" s="577"/>
      <c r="D205" s="578"/>
      <c r="E205" s="579"/>
      <c r="F205" s="517">
        <f t="shared" si="10"/>
        <v>0</v>
      </c>
      <c r="G205" s="400"/>
      <c r="H205" s="400">
        <f t="shared" si="11"/>
        <v>0</v>
      </c>
      <c r="I205" s="400"/>
      <c r="J205" s="400">
        <f t="shared" si="9"/>
        <v>0</v>
      </c>
    </row>
    <row r="206" spans="1:10" ht="16.5">
      <c r="A206" s="158"/>
      <c r="B206" s="580"/>
      <c r="C206" s="577"/>
      <c r="D206" s="578"/>
      <c r="E206" s="579"/>
      <c r="F206" s="517">
        <f t="shared" si="10"/>
        <v>0</v>
      </c>
      <c r="G206" s="400"/>
      <c r="H206" s="400">
        <f t="shared" si="11"/>
        <v>0</v>
      </c>
      <c r="I206" s="400"/>
      <c r="J206" s="400">
        <f t="shared" si="9"/>
        <v>0</v>
      </c>
    </row>
    <row r="207" spans="1:10" ht="18">
      <c r="A207" s="156"/>
      <c r="B207" s="559" t="s">
        <v>19</v>
      </c>
      <c r="C207" s="560"/>
      <c r="D207" s="543"/>
      <c r="E207" s="579"/>
      <c r="F207" s="517">
        <f t="shared" si="10"/>
        <v>0</v>
      </c>
      <c r="G207" s="400"/>
      <c r="H207" s="400">
        <f t="shared" si="11"/>
        <v>0</v>
      </c>
      <c r="I207" s="400"/>
      <c r="J207" s="400">
        <f t="shared" si="9"/>
        <v>0</v>
      </c>
    </row>
    <row r="208" spans="1:10" ht="16.5">
      <c r="A208" s="156"/>
      <c r="B208" s="563" t="s">
        <v>20</v>
      </c>
      <c r="C208" s="560" t="s">
        <v>21</v>
      </c>
      <c r="D208" s="543">
        <f>D198/6</f>
        <v>8.3333333333333329E-2</v>
      </c>
      <c r="E208" s="579">
        <v>65000</v>
      </c>
      <c r="F208" s="517">
        <f t="shared" si="10"/>
        <v>5416.6666666666661</v>
      </c>
      <c r="G208" s="400">
        <v>50000</v>
      </c>
      <c r="H208" s="400">
        <f t="shared" si="11"/>
        <v>4166.6666666666661</v>
      </c>
      <c r="I208" s="400">
        <v>80000</v>
      </c>
      <c r="J208" s="400">
        <f t="shared" si="9"/>
        <v>6666.6666666666661</v>
      </c>
    </row>
    <row r="209" spans="1:10" ht="16.5">
      <c r="A209" s="156"/>
      <c r="B209" s="563" t="s">
        <v>22</v>
      </c>
      <c r="C209" s="560" t="s">
        <v>21</v>
      </c>
      <c r="D209" s="543">
        <f>D198/6</f>
        <v>8.3333333333333329E-2</v>
      </c>
      <c r="E209" s="579">
        <v>65000</v>
      </c>
      <c r="F209" s="517">
        <f t="shared" si="10"/>
        <v>5416.6666666666661</v>
      </c>
      <c r="G209" s="400">
        <v>50000</v>
      </c>
      <c r="H209" s="400">
        <f t="shared" si="11"/>
        <v>4166.6666666666661</v>
      </c>
      <c r="I209" s="400">
        <v>40000</v>
      </c>
      <c r="J209" s="400">
        <f t="shared" si="9"/>
        <v>3333.333333333333</v>
      </c>
    </row>
    <row r="210" spans="1:10" ht="36">
      <c r="A210" s="157"/>
      <c r="B210" s="559" t="s">
        <v>23</v>
      </c>
      <c r="C210" s="564"/>
      <c r="D210" s="565"/>
      <c r="E210" s="579"/>
      <c r="F210" s="517">
        <f t="shared" si="10"/>
        <v>0</v>
      </c>
      <c r="G210" s="400"/>
      <c r="H210" s="400">
        <f t="shared" si="11"/>
        <v>0</v>
      </c>
      <c r="I210" s="400"/>
      <c r="J210" s="400">
        <f t="shared" si="9"/>
        <v>0</v>
      </c>
    </row>
    <row r="211" spans="1:10" ht="18">
      <c r="A211" s="157"/>
      <c r="B211" s="559"/>
      <c r="C211" s="564"/>
      <c r="D211" s="565"/>
      <c r="E211" s="579"/>
      <c r="F211" s="517">
        <f t="shared" si="10"/>
        <v>0</v>
      </c>
      <c r="G211" s="400"/>
      <c r="H211" s="400">
        <f t="shared" si="11"/>
        <v>0</v>
      </c>
      <c r="I211" s="400"/>
      <c r="J211" s="400">
        <f t="shared" si="9"/>
        <v>0</v>
      </c>
    </row>
    <row r="212" spans="1:10" ht="18">
      <c r="A212" s="165"/>
      <c r="B212" s="576" t="s">
        <v>33</v>
      </c>
      <c r="C212" s="577"/>
      <c r="D212" s="578"/>
      <c r="E212" s="579"/>
      <c r="F212" s="517">
        <f t="shared" si="10"/>
        <v>0</v>
      </c>
      <c r="G212" s="400"/>
      <c r="H212" s="400">
        <f t="shared" si="11"/>
        <v>0</v>
      </c>
      <c r="I212" s="400"/>
      <c r="J212" s="400">
        <f t="shared" si="9"/>
        <v>0</v>
      </c>
    </row>
    <row r="213" spans="1:10" ht="16.5">
      <c r="A213" s="165"/>
      <c r="B213" s="580" t="s">
        <v>34</v>
      </c>
      <c r="C213" s="577" t="s">
        <v>21</v>
      </c>
      <c r="D213" s="578">
        <f>D198/1.64</f>
        <v>0.3048780487804878</v>
      </c>
      <c r="E213" s="579">
        <v>11000</v>
      </c>
      <c r="F213" s="517">
        <f t="shared" si="10"/>
        <v>3353.6585365853657</v>
      </c>
      <c r="G213" s="400">
        <v>10000</v>
      </c>
      <c r="H213" s="400">
        <f t="shared" si="11"/>
        <v>3048.7804878048778</v>
      </c>
      <c r="I213" s="400">
        <v>56676</v>
      </c>
      <c r="J213" s="400">
        <f t="shared" si="9"/>
        <v>17279.268292682926</v>
      </c>
    </row>
    <row r="214" spans="1:10" ht="16.5">
      <c r="A214" s="165"/>
      <c r="B214" s="580" t="s">
        <v>7</v>
      </c>
      <c r="C214" s="577" t="s">
        <v>21</v>
      </c>
      <c r="D214" s="578">
        <f>+D213*2</f>
        <v>0.6097560975609756</v>
      </c>
      <c r="E214" s="579">
        <v>9500</v>
      </c>
      <c r="F214" s="517">
        <f t="shared" si="10"/>
        <v>5792.6829268292686</v>
      </c>
      <c r="G214" s="400">
        <v>5000</v>
      </c>
      <c r="H214" s="400">
        <f t="shared" si="11"/>
        <v>3048.7804878048778</v>
      </c>
      <c r="I214" s="400">
        <v>75000</v>
      </c>
      <c r="J214" s="400">
        <f t="shared" si="9"/>
        <v>45731.707317073167</v>
      </c>
    </row>
    <row r="215" spans="1:10" ht="18">
      <c r="A215" s="157"/>
      <c r="B215" s="559" t="s">
        <v>78</v>
      </c>
      <c r="C215" s="564"/>
      <c r="D215" s="565"/>
      <c r="E215" s="579"/>
      <c r="F215" s="517">
        <f t="shared" si="10"/>
        <v>0</v>
      </c>
      <c r="G215" s="400"/>
      <c r="H215" s="400">
        <f t="shared" si="11"/>
        <v>0</v>
      </c>
      <c r="I215" s="400"/>
      <c r="J215" s="400">
        <f t="shared" si="9"/>
        <v>0</v>
      </c>
    </row>
    <row r="216" spans="1:10" ht="16.5">
      <c r="A216" s="165"/>
      <c r="B216" s="580"/>
      <c r="C216" s="577"/>
      <c r="D216" s="578"/>
      <c r="E216" s="579"/>
      <c r="F216" s="517">
        <f t="shared" si="10"/>
        <v>0</v>
      </c>
      <c r="G216" s="400"/>
      <c r="H216" s="400">
        <f t="shared" si="11"/>
        <v>0</v>
      </c>
      <c r="I216" s="400"/>
      <c r="J216" s="400">
        <f t="shared" si="9"/>
        <v>0</v>
      </c>
    </row>
    <row r="217" spans="1:10" s="60" customFormat="1" ht="18">
      <c r="A217" s="166">
        <v>11</v>
      </c>
      <c r="B217" s="582" t="s">
        <v>76</v>
      </c>
      <c r="C217" s="582"/>
      <c r="D217" s="582"/>
      <c r="E217" s="540"/>
      <c r="F217" s="517">
        <f t="shared" si="10"/>
        <v>0</v>
      </c>
      <c r="G217" s="407"/>
      <c r="H217" s="400">
        <f t="shared" si="11"/>
        <v>0</v>
      </c>
      <c r="I217" s="407"/>
      <c r="J217" s="400">
        <f t="shared" si="9"/>
        <v>0</v>
      </c>
    </row>
    <row r="218" spans="1:10" ht="16.5">
      <c r="A218" s="141">
        <v>11.01</v>
      </c>
      <c r="B218" s="553" t="s">
        <v>75</v>
      </c>
      <c r="C218" s="554" t="s">
        <v>36</v>
      </c>
      <c r="D218" s="510">
        <f>78+52</f>
        <v>130</v>
      </c>
      <c r="E218" s="555">
        <v>10589.1</v>
      </c>
      <c r="F218" s="512">
        <f t="shared" si="10"/>
        <v>1376583</v>
      </c>
      <c r="G218" s="403"/>
      <c r="H218" s="367">
        <f>SUBTOTAL(9,H219:H236)</f>
        <v>1084572</v>
      </c>
      <c r="I218" s="403">
        <v>13750.015589743587</v>
      </c>
      <c r="J218" s="403">
        <f t="shared" si="9"/>
        <v>1787502.0266666664</v>
      </c>
    </row>
    <row r="219" spans="1:10" ht="16.5">
      <c r="A219" s="150"/>
      <c r="B219" s="541"/>
      <c r="C219" s="542"/>
      <c r="D219" s="543">
        <f>D218*0.05</f>
        <v>6.5</v>
      </c>
      <c r="E219" s="544"/>
      <c r="F219" s="517">
        <f t="shared" si="10"/>
        <v>0</v>
      </c>
      <c r="G219" s="400"/>
      <c r="H219" s="400">
        <f t="shared" si="11"/>
        <v>0</v>
      </c>
      <c r="I219" s="400">
        <v>200000</v>
      </c>
      <c r="J219" s="400">
        <f t="shared" si="9"/>
        <v>1300000</v>
      </c>
    </row>
    <row r="220" spans="1:10" ht="18">
      <c r="A220" s="151"/>
      <c r="B220" s="545" t="s">
        <v>2</v>
      </c>
      <c r="C220" s="546"/>
      <c r="D220" s="519"/>
      <c r="E220" s="547"/>
      <c r="F220" s="517">
        <f t="shared" si="10"/>
        <v>0</v>
      </c>
      <c r="G220" s="400"/>
      <c r="H220" s="400">
        <f t="shared" si="11"/>
        <v>0</v>
      </c>
      <c r="I220" s="400"/>
      <c r="J220" s="400">
        <f t="shared" si="9"/>
        <v>0</v>
      </c>
    </row>
    <row r="221" spans="1:10" ht="16.5">
      <c r="A221" s="145"/>
      <c r="B221" s="518" t="s">
        <v>30</v>
      </c>
      <c r="C221" s="514" t="s">
        <v>28</v>
      </c>
      <c r="D221" s="516">
        <f>D218*0.1*1.5</f>
        <v>19.5</v>
      </c>
      <c r="E221" s="517">
        <v>22500</v>
      </c>
      <c r="F221" s="517">
        <f t="shared" si="10"/>
        <v>438750</v>
      </c>
      <c r="G221" s="400">
        <v>15000</v>
      </c>
      <c r="H221" s="400">
        <f t="shared" si="11"/>
        <v>292500</v>
      </c>
      <c r="I221" s="400">
        <v>25000</v>
      </c>
      <c r="J221" s="400">
        <f t="shared" si="9"/>
        <v>487500</v>
      </c>
    </row>
    <row r="222" spans="1:10" ht="16.5">
      <c r="A222" s="151"/>
      <c r="B222" s="548" t="s">
        <v>11</v>
      </c>
      <c r="C222" s="546" t="s">
        <v>12</v>
      </c>
      <c r="D222" s="516">
        <f>D219*(1/13)*1.57*(1440/50)</f>
        <v>22.608000000000001</v>
      </c>
      <c r="E222" s="517">
        <v>11200</v>
      </c>
      <c r="F222" s="517">
        <f t="shared" si="10"/>
        <v>253209.60000000001</v>
      </c>
      <c r="G222" s="400">
        <v>14000</v>
      </c>
      <c r="H222" s="400">
        <f t="shared" si="11"/>
        <v>316512</v>
      </c>
      <c r="I222" s="400">
        <v>13500</v>
      </c>
      <c r="J222" s="400">
        <f t="shared" si="9"/>
        <v>305208</v>
      </c>
    </row>
    <row r="223" spans="1:10" ht="16.5">
      <c r="A223" s="151"/>
      <c r="B223" s="548" t="s">
        <v>13</v>
      </c>
      <c r="C223" s="546" t="s">
        <v>10</v>
      </c>
      <c r="D223" s="516">
        <f>D219*(4/13)*1.57</f>
        <v>3.14</v>
      </c>
      <c r="E223" s="517">
        <v>36500</v>
      </c>
      <c r="F223" s="517">
        <f t="shared" si="10"/>
        <v>114610</v>
      </c>
      <c r="G223" s="400">
        <v>25000</v>
      </c>
      <c r="H223" s="400">
        <f t="shared" si="11"/>
        <v>78500</v>
      </c>
      <c r="I223" s="400">
        <v>40000</v>
      </c>
      <c r="J223" s="400">
        <f t="shared" si="9"/>
        <v>125600</v>
      </c>
    </row>
    <row r="224" spans="1:10" ht="16.5">
      <c r="A224" s="151"/>
      <c r="B224" s="548" t="s">
        <v>14</v>
      </c>
      <c r="C224" s="546" t="s">
        <v>10</v>
      </c>
      <c r="D224" s="516">
        <f>D219*(8/13)*1.57</f>
        <v>6.28</v>
      </c>
      <c r="E224" s="517">
        <v>43500</v>
      </c>
      <c r="F224" s="517">
        <f t="shared" si="10"/>
        <v>273180</v>
      </c>
      <c r="G224" s="400">
        <v>27000</v>
      </c>
      <c r="H224" s="400">
        <f t="shared" si="11"/>
        <v>169560</v>
      </c>
      <c r="I224" s="400">
        <v>48312</v>
      </c>
      <c r="J224" s="400">
        <f t="shared" si="9"/>
        <v>303399.36</v>
      </c>
    </row>
    <row r="225" spans="1:10" ht="18">
      <c r="A225" s="152"/>
      <c r="B225" s="545" t="s">
        <v>115</v>
      </c>
      <c r="C225" s="549"/>
      <c r="D225" s="536"/>
      <c r="E225" s="517"/>
      <c r="F225" s="517">
        <f t="shared" si="10"/>
        <v>0</v>
      </c>
      <c r="G225" s="400"/>
      <c r="H225" s="400">
        <f t="shared" si="11"/>
        <v>0</v>
      </c>
      <c r="I225" s="400"/>
      <c r="J225" s="400">
        <f t="shared" si="9"/>
        <v>0</v>
      </c>
    </row>
    <row r="226" spans="1:10" ht="18">
      <c r="A226" s="152"/>
      <c r="B226" s="545"/>
      <c r="C226" s="549"/>
      <c r="D226" s="536"/>
      <c r="E226" s="517"/>
      <c r="F226" s="517">
        <f t="shared" si="10"/>
        <v>0</v>
      </c>
      <c r="G226" s="400"/>
      <c r="H226" s="400">
        <f t="shared" si="11"/>
        <v>0</v>
      </c>
      <c r="I226" s="400"/>
      <c r="J226" s="400">
        <f t="shared" si="9"/>
        <v>0</v>
      </c>
    </row>
    <row r="227" spans="1:10" ht="18">
      <c r="A227" s="156"/>
      <c r="B227" s="559" t="s">
        <v>19</v>
      </c>
      <c r="C227" s="560"/>
      <c r="D227" s="543"/>
      <c r="E227" s="517"/>
      <c r="F227" s="517">
        <f t="shared" si="10"/>
        <v>0</v>
      </c>
      <c r="G227" s="400"/>
      <c r="H227" s="400">
        <f t="shared" si="11"/>
        <v>0</v>
      </c>
      <c r="I227" s="400"/>
      <c r="J227" s="400">
        <f t="shared" si="9"/>
        <v>0</v>
      </c>
    </row>
    <row r="228" spans="1:10" ht="16.5">
      <c r="A228" s="156"/>
      <c r="B228" s="563" t="s">
        <v>20</v>
      </c>
      <c r="C228" s="560" t="s">
        <v>21</v>
      </c>
      <c r="D228" s="543">
        <f>D219/6</f>
        <v>1.0833333333333333</v>
      </c>
      <c r="E228" s="517">
        <v>18500</v>
      </c>
      <c r="F228" s="517">
        <f t="shared" si="10"/>
        <v>20041.666666666664</v>
      </c>
      <c r="G228" s="400">
        <v>50000</v>
      </c>
      <c r="H228" s="400">
        <f t="shared" si="11"/>
        <v>54166.666666666664</v>
      </c>
      <c r="I228" s="400">
        <v>80000</v>
      </c>
      <c r="J228" s="400">
        <f t="shared" si="9"/>
        <v>86666.666666666657</v>
      </c>
    </row>
    <row r="229" spans="1:10" ht="16.5">
      <c r="A229" s="156"/>
      <c r="B229" s="563" t="s">
        <v>22</v>
      </c>
      <c r="C229" s="560" t="s">
        <v>21</v>
      </c>
      <c r="D229" s="543">
        <f>D219/6</f>
        <v>1.0833333333333333</v>
      </c>
      <c r="E229" s="517">
        <v>11500</v>
      </c>
      <c r="F229" s="517">
        <f t="shared" si="10"/>
        <v>12458.333333333332</v>
      </c>
      <c r="G229" s="400">
        <v>50000</v>
      </c>
      <c r="H229" s="400">
        <f t="shared" si="11"/>
        <v>54166.666666666664</v>
      </c>
      <c r="I229" s="400">
        <v>40000</v>
      </c>
      <c r="J229" s="400">
        <f t="shared" si="9"/>
        <v>43333.333333333328</v>
      </c>
    </row>
    <row r="230" spans="1:10" s="583" customFormat="1" ht="18">
      <c r="A230" s="157"/>
      <c r="B230" s="559" t="s">
        <v>112</v>
      </c>
      <c r="C230" s="564"/>
      <c r="D230" s="565"/>
      <c r="E230" s="517"/>
      <c r="F230" s="517">
        <f t="shared" si="10"/>
        <v>0</v>
      </c>
      <c r="G230" s="410"/>
      <c r="H230" s="400">
        <f t="shared" si="11"/>
        <v>0</v>
      </c>
      <c r="I230" s="410"/>
      <c r="J230" s="400">
        <f t="shared" si="9"/>
        <v>0</v>
      </c>
    </row>
    <row r="231" spans="1:10" ht="16.5">
      <c r="A231" s="151"/>
      <c r="B231" s="548"/>
      <c r="C231" s="546"/>
      <c r="D231" s="519"/>
      <c r="E231" s="517"/>
      <c r="F231" s="517">
        <f t="shared" si="10"/>
        <v>0</v>
      </c>
      <c r="G231" s="400"/>
      <c r="H231" s="400">
        <f t="shared" si="11"/>
        <v>0</v>
      </c>
      <c r="I231" s="400"/>
      <c r="J231" s="400">
        <f t="shared" si="9"/>
        <v>0</v>
      </c>
    </row>
    <row r="232" spans="1:10" ht="18">
      <c r="A232" s="151"/>
      <c r="B232" s="545" t="s">
        <v>6</v>
      </c>
      <c r="C232" s="546"/>
      <c r="D232" s="519"/>
      <c r="E232" s="517"/>
      <c r="F232" s="517">
        <f t="shared" si="10"/>
        <v>0</v>
      </c>
      <c r="G232" s="400"/>
      <c r="H232" s="400">
        <f t="shared" si="11"/>
        <v>0</v>
      </c>
      <c r="I232" s="400"/>
      <c r="J232" s="400">
        <f t="shared" si="9"/>
        <v>0</v>
      </c>
    </row>
    <row r="233" spans="1:10" ht="16.5">
      <c r="A233" s="151"/>
      <c r="B233" s="548" t="s">
        <v>24</v>
      </c>
      <c r="C233" s="546" t="s">
        <v>21</v>
      </c>
      <c r="D233" s="519">
        <f>(D219/6)*2</f>
        <v>2.1666666666666665</v>
      </c>
      <c r="E233" s="517">
        <v>18500</v>
      </c>
      <c r="F233" s="517">
        <f t="shared" si="10"/>
        <v>40083.333333333328</v>
      </c>
      <c r="G233" s="400">
        <v>10000</v>
      </c>
      <c r="H233" s="400">
        <f t="shared" si="11"/>
        <v>21666.666666666664</v>
      </c>
      <c r="I233" s="400">
        <v>44500</v>
      </c>
      <c r="J233" s="400">
        <f t="shared" si="9"/>
        <v>96416.666666666657</v>
      </c>
    </row>
    <row r="234" spans="1:10" ht="16.5">
      <c r="A234" s="151"/>
      <c r="B234" s="548" t="s">
        <v>25</v>
      </c>
      <c r="C234" s="546" t="s">
        <v>21</v>
      </c>
      <c r="D234" s="519">
        <f>(D219/6)*18</f>
        <v>19.5</v>
      </c>
      <c r="E234" s="517">
        <v>11500</v>
      </c>
      <c r="F234" s="517">
        <f t="shared" si="10"/>
        <v>224250</v>
      </c>
      <c r="G234" s="400">
        <v>5000</v>
      </c>
      <c r="H234" s="400">
        <f t="shared" si="11"/>
        <v>97500</v>
      </c>
      <c r="I234" s="400">
        <v>17404</v>
      </c>
      <c r="J234" s="400">
        <f t="shared" si="9"/>
        <v>339378</v>
      </c>
    </row>
    <row r="235" spans="1:10" ht="18">
      <c r="A235" s="152"/>
      <c r="B235" s="545" t="s">
        <v>113</v>
      </c>
      <c r="C235" s="549"/>
      <c r="D235" s="536"/>
      <c r="E235" s="517"/>
      <c r="F235" s="517">
        <f t="shared" si="10"/>
        <v>0</v>
      </c>
      <c r="G235" s="400"/>
      <c r="H235" s="400">
        <f t="shared" si="11"/>
        <v>0</v>
      </c>
      <c r="I235" s="400"/>
      <c r="J235" s="400">
        <f t="shared" si="9"/>
        <v>0</v>
      </c>
    </row>
    <row r="236" spans="1:10" ht="16.5">
      <c r="A236" s="151"/>
      <c r="B236" s="548"/>
      <c r="C236" s="546"/>
      <c r="D236" s="519"/>
      <c r="E236" s="517"/>
      <c r="F236" s="517">
        <f t="shared" si="10"/>
        <v>0</v>
      </c>
      <c r="G236" s="400"/>
      <c r="H236" s="400">
        <f t="shared" si="11"/>
        <v>0</v>
      </c>
      <c r="I236" s="400"/>
      <c r="J236" s="400">
        <f t="shared" si="9"/>
        <v>0</v>
      </c>
    </row>
    <row r="237" spans="1:10" ht="16.5">
      <c r="A237" s="141">
        <v>12.01</v>
      </c>
      <c r="B237" s="533" t="s">
        <v>80</v>
      </c>
      <c r="C237" s="574" t="s">
        <v>47</v>
      </c>
      <c r="D237" s="584">
        <f>78+52</f>
        <v>130</v>
      </c>
      <c r="E237" s="512">
        <v>6241.9769230769234</v>
      </c>
      <c r="F237" s="512">
        <f t="shared" si="10"/>
        <v>811457</v>
      </c>
      <c r="G237" s="403"/>
      <c r="H237" s="367">
        <f>SUBTOTAL(9,H238:H247)</f>
        <v>726476.74666666659</v>
      </c>
      <c r="I237" s="403">
        <v>5343.7029743589737</v>
      </c>
      <c r="J237" s="403">
        <f t="shared" si="9"/>
        <v>694681.3866666666</v>
      </c>
    </row>
    <row r="238" spans="1:10" ht="18">
      <c r="A238" s="145"/>
      <c r="B238" s="520" t="s">
        <v>2</v>
      </c>
      <c r="C238" s="527"/>
      <c r="D238" s="585"/>
      <c r="E238" s="517"/>
      <c r="F238" s="517">
        <f t="shared" si="10"/>
        <v>0</v>
      </c>
      <c r="G238" s="400"/>
      <c r="H238" s="400">
        <f t="shared" si="11"/>
        <v>0</v>
      </c>
      <c r="I238" s="400"/>
      <c r="J238" s="400">
        <f t="shared" si="9"/>
        <v>0</v>
      </c>
    </row>
    <row r="239" spans="1:10" ht="16.5">
      <c r="A239" s="145"/>
      <c r="B239" s="534" t="s">
        <v>11</v>
      </c>
      <c r="C239" s="527" t="s">
        <v>12</v>
      </c>
      <c r="D239" s="585">
        <f>D237*(1/6)*0.032*(1440/50)*1.54</f>
        <v>30.750719999999994</v>
      </c>
      <c r="E239" s="517">
        <v>11200</v>
      </c>
      <c r="F239" s="517">
        <f t="shared" si="10"/>
        <v>344408.06399999995</v>
      </c>
      <c r="G239" s="400">
        <v>14000</v>
      </c>
      <c r="H239" s="400">
        <f t="shared" si="11"/>
        <v>430510.0799999999</v>
      </c>
      <c r="I239" s="400">
        <v>13500</v>
      </c>
      <c r="J239" s="400">
        <f t="shared" si="9"/>
        <v>415134.71999999991</v>
      </c>
    </row>
    <row r="240" spans="1:10" ht="16.5">
      <c r="A240" s="145"/>
      <c r="B240" s="534" t="s">
        <v>13</v>
      </c>
      <c r="C240" s="527" t="s">
        <v>10</v>
      </c>
      <c r="D240" s="585">
        <f>D237*(5/6)*0.032*1.54</f>
        <v>5.3386666666666676</v>
      </c>
      <c r="E240" s="517">
        <v>36500</v>
      </c>
      <c r="F240" s="517">
        <f t="shared" si="10"/>
        <v>194861.33333333337</v>
      </c>
      <c r="G240" s="400">
        <v>25000</v>
      </c>
      <c r="H240" s="400">
        <f t="shared" si="11"/>
        <v>133466.66666666669</v>
      </c>
      <c r="I240" s="400">
        <v>40000</v>
      </c>
      <c r="J240" s="400">
        <f t="shared" si="9"/>
        <v>213546.66666666672</v>
      </c>
    </row>
    <row r="241" spans="1:10" ht="18">
      <c r="A241" s="157"/>
      <c r="B241" s="559" t="s">
        <v>5</v>
      </c>
      <c r="C241" s="564"/>
      <c r="D241" s="565"/>
      <c r="E241" s="517"/>
      <c r="F241" s="517">
        <f t="shared" si="10"/>
        <v>0</v>
      </c>
      <c r="G241" s="400"/>
      <c r="H241" s="400">
        <f t="shared" si="11"/>
        <v>0</v>
      </c>
      <c r="I241" s="400"/>
      <c r="J241" s="400">
        <f t="shared" si="9"/>
        <v>0</v>
      </c>
    </row>
    <row r="242" spans="1:10" ht="16.5">
      <c r="A242" s="151"/>
      <c r="B242" s="548"/>
      <c r="C242" s="546"/>
      <c r="D242" s="519"/>
      <c r="E242" s="517"/>
      <c r="F242" s="517">
        <f t="shared" si="10"/>
        <v>0</v>
      </c>
      <c r="G242" s="400"/>
      <c r="H242" s="400">
        <f t="shared" si="11"/>
        <v>0</v>
      </c>
      <c r="I242" s="400"/>
      <c r="J242" s="400">
        <f t="shared" si="9"/>
        <v>0</v>
      </c>
    </row>
    <row r="243" spans="1:10" ht="18">
      <c r="A243" s="151"/>
      <c r="B243" s="545" t="s">
        <v>6</v>
      </c>
      <c r="C243" s="546"/>
      <c r="D243" s="519"/>
      <c r="E243" s="517"/>
      <c r="F243" s="517">
        <f t="shared" si="10"/>
        <v>0</v>
      </c>
      <c r="G243" s="400"/>
      <c r="H243" s="400">
        <f t="shared" si="11"/>
        <v>0</v>
      </c>
      <c r="I243" s="400"/>
      <c r="J243" s="400">
        <f t="shared" si="9"/>
        <v>0</v>
      </c>
    </row>
    <row r="244" spans="1:10" ht="16.5">
      <c r="A244" s="151"/>
      <c r="B244" s="548" t="s">
        <v>34</v>
      </c>
      <c r="C244" s="546" t="s">
        <v>8</v>
      </c>
      <c r="D244" s="519">
        <f>D237/16</f>
        <v>8.125</v>
      </c>
      <c r="E244" s="517">
        <v>14500</v>
      </c>
      <c r="F244" s="517">
        <f t="shared" si="10"/>
        <v>117812.5</v>
      </c>
      <c r="G244" s="400">
        <v>10000</v>
      </c>
      <c r="H244" s="400">
        <f t="shared" si="11"/>
        <v>81250</v>
      </c>
      <c r="I244" s="400">
        <v>5907.6923076923076</v>
      </c>
      <c r="J244" s="400">
        <f t="shared" si="9"/>
        <v>48000</v>
      </c>
    </row>
    <row r="245" spans="1:10" ht="16.5">
      <c r="A245" s="151"/>
      <c r="B245" s="548" t="s">
        <v>7</v>
      </c>
      <c r="C245" s="546" t="s">
        <v>8</v>
      </c>
      <c r="D245" s="519">
        <f>D244*2</f>
        <v>16.25</v>
      </c>
      <c r="E245" s="517">
        <v>9500</v>
      </c>
      <c r="F245" s="517">
        <f t="shared" si="10"/>
        <v>154375</v>
      </c>
      <c r="G245" s="400">
        <v>5000</v>
      </c>
      <c r="H245" s="400">
        <f t="shared" si="11"/>
        <v>81250</v>
      </c>
      <c r="I245" s="400">
        <v>1107.6923076923076</v>
      </c>
      <c r="J245" s="400">
        <f t="shared" si="9"/>
        <v>18000</v>
      </c>
    </row>
    <row r="246" spans="1:10" ht="18">
      <c r="A246" s="152"/>
      <c r="B246" s="545" t="s">
        <v>9</v>
      </c>
      <c r="C246" s="549"/>
      <c r="D246" s="536"/>
      <c r="E246" s="586"/>
      <c r="F246" s="517">
        <f t="shared" si="10"/>
        <v>0</v>
      </c>
      <c r="G246" s="400"/>
      <c r="H246" s="400">
        <f t="shared" si="11"/>
        <v>0</v>
      </c>
      <c r="I246" s="400"/>
      <c r="J246" s="400">
        <f t="shared" si="9"/>
        <v>0</v>
      </c>
    </row>
    <row r="247" spans="1:10" ht="18">
      <c r="A247" s="152"/>
      <c r="B247" s="545"/>
      <c r="C247" s="549"/>
      <c r="D247" s="536"/>
      <c r="E247" s="586"/>
      <c r="F247" s="517">
        <f t="shared" si="10"/>
        <v>0</v>
      </c>
      <c r="G247" s="400"/>
      <c r="H247" s="400">
        <f t="shared" si="11"/>
        <v>0</v>
      </c>
      <c r="I247" s="400"/>
      <c r="J247" s="400">
        <f t="shared" si="9"/>
        <v>0</v>
      </c>
    </row>
    <row r="248" spans="1:10" s="60" customFormat="1" ht="18">
      <c r="A248" s="152">
        <v>13</v>
      </c>
      <c r="B248" s="551" t="s">
        <v>81</v>
      </c>
      <c r="C248" s="551"/>
      <c r="D248" s="551"/>
      <c r="E248" s="552"/>
      <c r="F248" s="517">
        <f t="shared" si="10"/>
        <v>0</v>
      </c>
      <c r="G248" s="407"/>
      <c r="H248" s="400">
        <f t="shared" si="11"/>
        <v>0</v>
      </c>
      <c r="I248" s="407"/>
      <c r="J248" s="400">
        <f t="shared" si="9"/>
        <v>0</v>
      </c>
    </row>
    <row r="249" spans="1:10" ht="33">
      <c r="A249" s="154">
        <v>13.01</v>
      </c>
      <c r="B249" s="508" t="s">
        <v>49</v>
      </c>
      <c r="C249" s="509" t="s">
        <v>50</v>
      </c>
      <c r="D249" s="510">
        <f>(38*3)-(7.56+10.6)</f>
        <v>95.84</v>
      </c>
      <c r="E249" s="512">
        <v>3324.7471999999998</v>
      </c>
      <c r="F249" s="512">
        <f t="shared" si="10"/>
        <v>318643.77164799999</v>
      </c>
      <c r="G249" s="403"/>
      <c r="H249" s="367">
        <f>SUBTOTAL(9,H250:H259)</f>
        <v>510327.29856000002</v>
      </c>
      <c r="I249" s="403">
        <v>6000</v>
      </c>
      <c r="J249" s="403">
        <f t="shared" si="9"/>
        <v>575040</v>
      </c>
    </row>
    <row r="250" spans="1:10" ht="18">
      <c r="A250" s="151"/>
      <c r="B250" s="520" t="s">
        <v>51</v>
      </c>
      <c r="C250" s="527"/>
      <c r="D250" s="516"/>
      <c r="E250" s="517"/>
      <c r="F250" s="517">
        <f t="shared" si="10"/>
        <v>0</v>
      </c>
      <c r="G250" s="400"/>
      <c r="H250" s="400">
        <f t="shared" si="11"/>
        <v>0</v>
      </c>
      <c r="I250" s="400"/>
      <c r="J250" s="400">
        <f t="shared" si="9"/>
        <v>0</v>
      </c>
    </row>
    <row r="251" spans="1:10" ht="16.5">
      <c r="A251" s="150"/>
      <c r="B251" s="534" t="s">
        <v>52</v>
      </c>
      <c r="C251" s="527" t="s">
        <v>12</v>
      </c>
      <c r="D251" s="519">
        <f>D249*0.015*(1/5)*1.54*(1440/50)</f>
        <v>12.752087040000001</v>
      </c>
      <c r="E251" s="517">
        <v>11200</v>
      </c>
      <c r="F251" s="517">
        <f t="shared" si="10"/>
        <v>142823.37484800001</v>
      </c>
      <c r="G251" s="400">
        <v>14000</v>
      </c>
      <c r="H251" s="400">
        <f t="shared" si="11"/>
        <v>178529.21856000001</v>
      </c>
      <c r="I251" s="400">
        <v>11000</v>
      </c>
      <c r="J251" s="400">
        <f t="shared" si="9"/>
        <v>140272.95744</v>
      </c>
    </row>
    <row r="252" spans="1:10" ht="16.5">
      <c r="A252" s="170"/>
      <c r="B252" s="534" t="s">
        <v>13</v>
      </c>
      <c r="C252" s="527" t="s">
        <v>28</v>
      </c>
      <c r="D252" s="519">
        <f>D249*0.015*1.54*(4/5)</f>
        <v>1.7711231999999999</v>
      </c>
      <c r="E252" s="517">
        <v>36500</v>
      </c>
      <c r="F252" s="517">
        <f t="shared" si="10"/>
        <v>64645.996799999994</v>
      </c>
      <c r="G252" s="400">
        <v>25000</v>
      </c>
      <c r="H252" s="400">
        <f t="shared" si="11"/>
        <v>44278.079999999994</v>
      </c>
      <c r="I252" s="400">
        <v>40000</v>
      </c>
      <c r="J252" s="400">
        <f t="shared" si="9"/>
        <v>70844.928</v>
      </c>
    </row>
    <row r="253" spans="1:10" ht="18">
      <c r="A253" s="171"/>
      <c r="B253" s="520" t="s">
        <v>5</v>
      </c>
      <c r="C253" s="521"/>
      <c r="D253" s="536"/>
      <c r="E253" s="517"/>
      <c r="F253" s="517">
        <f t="shared" si="10"/>
        <v>0</v>
      </c>
      <c r="G253" s="400"/>
      <c r="H253" s="400">
        <f t="shared" si="11"/>
        <v>0</v>
      </c>
      <c r="I253" s="400"/>
      <c r="J253" s="400">
        <f t="shared" si="9"/>
        <v>0</v>
      </c>
    </row>
    <row r="254" spans="1:10" ht="16.5">
      <c r="A254" s="170"/>
      <c r="B254" s="534"/>
      <c r="C254" s="527"/>
      <c r="D254" s="519"/>
      <c r="E254" s="517"/>
      <c r="F254" s="517">
        <f t="shared" si="10"/>
        <v>0</v>
      </c>
      <c r="G254" s="400"/>
      <c r="H254" s="400">
        <f t="shared" si="11"/>
        <v>0</v>
      </c>
      <c r="I254" s="400"/>
      <c r="J254" s="400">
        <f t="shared" si="9"/>
        <v>0</v>
      </c>
    </row>
    <row r="255" spans="1:10" ht="18">
      <c r="A255" s="170"/>
      <c r="B255" s="520" t="s">
        <v>53</v>
      </c>
      <c r="C255" s="527"/>
      <c r="D255" s="516"/>
      <c r="E255" s="517"/>
      <c r="F255" s="517">
        <f t="shared" si="10"/>
        <v>0</v>
      </c>
      <c r="G255" s="400"/>
      <c r="H255" s="400">
        <f t="shared" si="11"/>
        <v>0</v>
      </c>
      <c r="I255" s="400"/>
      <c r="J255" s="400">
        <f t="shared" si="9"/>
        <v>0</v>
      </c>
    </row>
    <row r="256" spans="1:10" ht="16.5">
      <c r="A256" s="170"/>
      <c r="B256" s="534" t="s">
        <v>34</v>
      </c>
      <c r="C256" s="527" t="s">
        <v>8</v>
      </c>
      <c r="D256" s="519">
        <f>D249/10</f>
        <v>9.5839999999999996</v>
      </c>
      <c r="E256" s="517">
        <v>2800</v>
      </c>
      <c r="F256" s="517">
        <f t="shared" si="10"/>
        <v>26835.200000000001</v>
      </c>
      <c r="G256" s="400">
        <v>10000</v>
      </c>
      <c r="H256" s="400">
        <f t="shared" si="11"/>
        <v>95840</v>
      </c>
      <c r="I256" s="400">
        <v>25314.560000000001</v>
      </c>
      <c r="J256" s="400">
        <f t="shared" si="9"/>
        <v>242614.74304</v>
      </c>
    </row>
    <row r="257" spans="1:10" ht="16.5">
      <c r="A257" s="170"/>
      <c r="B257" s="534" t="s">
        <v>7</v>
      </c>
      <c r="C257" s="527" t="s">
        <v>8</v>
      </c>
      <c r="D257" s="516">
        <f>D256*4</f>
        <v>38.335999999999999</v>
      </c>
      <c r="E257" s="517">
        <v>2200</v>
      </c>
      <c r="F257" s="517">
        <f t="shared" si="10"/>
        <v>84339.199999999997</v>
      </c>
      <c r="G257" s="400">
        <v>5000</v>
      </c>
      <c r="H257" s="400">
        <f t="shared" si="11"/>
        <v>191680</v>
      </c>
      <c r="I257" s="400">
        <v>3164.3200000000006</v>
      </c>
      <c r="J257" s="400">
        <f t="shared" si="9"/>
        <v>121307.37152000002</v>
      </c>
    </row>
    <row r="258" spans="1:10" ht="18">
      <c r="A258" s="171"/>
      <c r="B258" s="545" t="s">
        <v>54</v>
      </c>
      <c r="C258" s="521"/>
      <c r="D258" s="537"/>
      <c r="E258" s="517"/>
      <c r="F258" s="517">
        <f t="shared" si="10"/>
        <v>0</v>
      </c>
      <c r="G258" s="400"/>
      <c r="H258" s="400">
        <f t="shared" si="11"/>
        <v>0</v>
      </c>
      <c r="I258" s="400"/>
      <c r="J258" s="400">
        <f t="shared" si="9"/>
        <v>0</v>
      </c>
    </row>
    <row r="259" spans="1:10" ht="16.5">
      <c r="A259" s="142"/>
      <c r="B259" s="534"/>
      <c r="C259" s="527"/>
      <c r="D259" s="516"/>
      <c r="E259" s="517"/>
      <c r="F259" s="517">
        <f t="shared" si="10"/>
        <v>0</v>
      </c>
      <c r="G259" s="400"/>
      <c r="H259" s="400">
        <f t="shared" si="11"/>
        <v>0</v>
      </c>
      <c r="I259" s="400"/>
      <c r="J259" s="400">
        <f t="shared" si="9"/>
        <v>0</v>
      </c>
    </row>
    <row r="260" spans="1:10" s="60" customFormat="1" ht="18">
      <c r="A260" s="171">
        <v>14</v>
      </c>
      <c r="B260" s="587" t="s">
        <v>55</v>
      </c>
      <c r="C260" s="549"/>
      <c r="D260" s="536"/>
      <c r="E260" s="586"/>
      <c r="F260" s="517">
        <f t="shared" si="10"/>
        <v>0</v>
      </c>
      <c r="G260" s="407"/>
      <c r="H260" s="400">
        <f t="shared" si="11"/>
        <v>0</v>
      </c>
      <c r="I260" s="407"/>
      <c r="J260" s="400">
        <f t="shared" si="9"/>
        <v>0</v>
      </c>
    </row>
    <row r="261" spans="1:10" ht="33">
      <c r="A261" s="174">
        <v>14.01</v>
      </c>
      <c r="B261" s="508" t="s">
        <v>49</v>
      </c>
      <c r="C261" s="509" t="s">
        <v>1</v>
      </c>
      <c r="D261" s="510">
        <f>D249</f>
        <v>95.84</v>
      </c>
      <c r="E261" s="512">
        <v>2852.8422370617691</v>
      </c>
      <c r="F261" s="512">
        <f t="shared" si="10"/>
        <v>273416.39999999997</v>
      </c>
      <c r="G261" s="403"/>
      <c r="H261" s="367">
        <f>SUBTOTAL(9,H262:H276)</f>
        <v>248968.36000000002</v>
      </c>
      <c r="I261" s="403">
        <v>7000</v>
      </c>
      <c r="J261" s="403">
        <f t="shared" ref="J261:J324" si="12">D261*I261</f>
        <v>670880</v>
      </c>
    </row>
    <row r="262" spans="1:10" ht="18">
      <c r="A262" s="142"/>
      <c r="B262" s="520" t="s">
        <v>2</v>
      </c>
      <c r="C262" s="527"/>
      <c r="D262" s="516"/>
      <c r="E262" s="517"/>
      <c r="F262" s="517">
        <f t="shared" si="10"/>
        <v>0</v>
      </c>
      <c r="G262" s="400"/>
      <c r="H262" s="400">
        <f t="shared" si="11"/>
        <v>0</v>
      </c>
      <c r="I262" s="400"/>
      <c r="J262" s="400">
        <f t="shared" si="12"/>
        <v>0</v>
      </c>
    </row>
    <row r="263" spans="1:10" ht="33">
      <c r="A263" s="175"/>
      <c r="B263" s="534" t="s">
        <v>56</v>
      </c>
      <c r="C263" s="527" t="s">
        <v>57</v>
      </c>
      <c r="D263" s="516">
        <f>D261*0.07*3</f>
        <v>20.126400000000004</v>
      </c>
      <c r="E263" s="517">
        <v>5266.7143652118602</v>
      </c>
      <c r="F263" s="517">
        <f t="shared" si="10"/>
        <v>106000</v>
      </c>
      <c r="G263" s="400">
        <v>5000</v>
      </c>
      <c r="H263" s="400">
        <f t="shared" si="11"/>
        <v>100632.00000000001</v>
      </c>
      <c r="I263" s="400">
        <v>4500</v>
      </c>
      <c r="J263" s="400">
        <f t="shared" si="12"/>
        <v>90568.800000000017</v>
      </c>
    </row>
    <row r="264" spans="1:10" ht="33">
      <c r="A264" s="170"/>
      <c r="B264" s="534" t="str">
        <f>'[1]Emulsion Paint'!$B$19</f>
        <v>Induit/undercoat ( 2 coats)</v>
      </c>
      <c r="C264" s="527" t="s">
        <v>57</v>
      </c>
      <c r="D264" s="516">
        <f>D261*0.07*2</f>
        <v>13.417600000000002</v>
      </c>
      <c r="E264" s="517">
        <v>1602.3730026234198</v>
      </c>
      <c r="F264" s="517">
        <f t="shared" ref="F264:F327" si="13">D264*E264</f>
        <v>21500</v>
      </c>
      <c r="G264" s="400">
        <v>1500</v>
      </c>
      <c r="H264" s="400">
        <f t="shared" ref="H264:H327" si="14">D264*G264</f>
        <v>20126.400000000001</v>
      </c>
      <c r="I264" s="400">
        <v>1100</v>
      </c>
      <c r="J264" s="400">
        <f t="shared" si="12"/>
        <v>14759.360000000002</v>
      </c>
    </row>
    <row r="265" spans="1:10" ht="16.5">
      <c r="A265" s="170"/>
      <c r="B265" s="534" t="str">
        <f>'[1]Emulsion Paint'!$B$24</f>
        <v>Roller</v>
      </c>
      <c r="C265" s="527" t="s">
        <v>44</v>
      </c>
      <c r="D265" s="519">
        <f>D261/100</f>
        <v>0.95840000000000003</v>
      </c>
      <c r="E265" s="517">
        <v>4500</v>
      </c>
      <c r="F265" s="517">
        <f t="shared" si="13"/>
        <v>4312.8</v>
      </c>
      <c r="G265" s="400">
        <v>1200</v>
      </c>
      <c r="H265" s="400">
        <f t="shared" si="14"/>
        <v>1150.08</v>
      </c>
      <c r="I265" s="400">
        <v>2200</v>
      </c>
      <c r="J265" s="400">
        <f t="shared" si="12"/>
        <v>2108.48</v>
      </c>
    </row>
    <row r="266" spans="1:10" ht="16.5">
      <c r="A266" s="170"/>
      <c r="B266" s="534" t="str">
        <f>'[1]Emulsion Paint'!$B$23</f>
        <v>Brush</v>
      </c>
      <c r="C266" s="527" t="s">
        <v>44</v>
      </c>
      <c r="D266" s="519">
        <f>D261/100</f>
        <v>0.95840000000000003</v>
      </c>
      <c r="E266" s="517">
        <v>4500</v>
      </c>
      <c r="F266" s="517">
        <f t="shared" si="13"/>
        <v>4312.8</v>
      </c>
      <c r="G266" s="400">
        <v>1200</v>
      </c>
      <c r="H266" s="400">
        <f t="shared" si="14"/>
        <v>1150.08</v>
      </c>
      <c r="I266" s="400">
        <v>600</v>
      </c>
      <c r="J266" s="400">
        <f t="shared" si="12"/>
        <v>575.04</v>
      </c>
    </row>
    <row r="267" spans="1:10" ht="16.5">
      <c r="A267" s="170"/>
      <c r="B267" s="534" t="s">
        <v>58</v>
      </c>
      <c r="C267" s="527" t="s">
        <v>59</v>
      </c>
      <c r="D267" s="519">
        <f>D261/100</f>
        <v>0.95840000000000003</v>
      </c>
      <c r="E267" s="517">
        <v>3500</v>
      </c>
      <c r="F267" s="517">
        <f t="shared" si="13"/>
        <v>3354.4</v>
      </c>
      <c r="G267" s="400">
        <v>2000</v>
      </c>
      <c r="H267" s="400">
        <f t="shared" si="14"/>
        <v>1916.8</v>
      </c>
      <c r="I267" s="400">
        <v>3500</v>
      </c>
      <c r="J267" s="400">
        <f t="shared" si="12"/>
        <v>3354.4</v>
      </c>
    </row>
    <row r="268" spans="1:10" ht="16.5">
      <c r="A268" s="170"/>
      <c r="B268" s="534" t="s">
        <v>60</v>
      </c>
      <c r="C268" s="527" t="s">
        <v>44</v>
      </c>
      <c r="D268" s="519">
        <f>D261/50</f>
        <v>1.9168000000000001</v>
      </c>
      <c r="E268" s="517">
        <v>3500</v>
      </c>
      <c r="F268" s="517">
        <f t="shared" si="13"/>
        <v>6708.8</v>
      </c>
      <c r="G268" s="400">
        <v>2000</v>
      </c>
      <c r="H268" s="400">
        <f t="shared" si="14"/>
        <v>3833.6</v>
      </c>
      <c r="I268" s="400">
        <v>1500</v>
      </c>
      <c r="J268" s="400">
        <f t="shared" si="12"/>
        <v>2875.2000000000003</v>
      </c>
    </row>
    <row r="269" spans="1:10" ht="18">
      <c r="A269" s="171"/>
      <c r="B269" s="520" t="s">
        <v>61</v>
      </c>
      <c r="C269" s="521"/>
      <c r="D269" s="536"/>
      <c r="E269" s="517"/>
      <c r="F269" s="517">
        <f t="shared" si="13"/>
        <v>0</v>
      </c>
      <c r="G269" s="400"/>
      <c r="H269" s="400">
        <f t="shared" si="14"/>
        <v>0</v>
      </c>
      <c r="I269" s="400"/>
      <c r="J269" s="400">
        <f t="shared" si="12"/>
        <v>0</v>
      </c>
    </row>
    <row r="270" spans="1:10" ht="16.5">
      <c r="A270" s="170"/>
      <c r="B270" s="534"/>
      <c r="C270" s="527"/>
      <c r="D270" s="519"/>
      <c r="E270" s="517"/>
      <c r="F270" s="517">
        <f t="shared" si="13"/>
        <v>0</v>
      </c>
      <c r="G270" s="400"/>
      <c r="H270" s="400">
        <f t="shared" si="14"/>
        <v>0</v>
      </c>
      <c r="I270" s="400"/>
      <c r="J270" s="400">
        <f t="shared" si="12"/>
        <v>0</v>
      </c>
    </row>
    <row r="271" spans="1:10" ht="18">
      <c r="A271" s="170"/>
      <c r="B271" s="520" t="s">
        <v>6</v>
      </c>
      <c r="C271" s="527"/>
      <c r="D271" s="516"/>
      <c r="E271" s="517"/>
      <c r="F271" s="517">
        <f t="shared" si="13"/>
        <v>0</v>
      </c>
      <c r="G271" s="400"/>
      <c r="H271" s="400">
        <f t="shared" si="14"/>
        <v>0</v>
      </c>
      <c r="I271" s="400"/>
      <c r="J271" s="400">
        <f t="shared" si="12"/>
        <v>0</v>
      </c>
    </row>
    <row r="272" spans="1:10" ht="16.5">
      <c r="A272" s="170"/>
      <c r="B272" s="534" t="s">
        <v>7</v>
      </c>
      <c r="C272" s="527" t="s">
        <v>62</v>
      </c>
      <c r="D272" s="516">
        <f>D273</f>
        <v>7.0682</v>
      </c>
      <c r="E272" s="517">
        <v>6500</v>
      </c>
      <c r="F272" s="517">
        <f t="shared" si="13"/>
        <v>45943.3</v>
      </c>
      <c r="G272" s="400">
        <v>5000</v>
      </c>
      <c r="H272" s="400">
        <f t="shared" si="14"/>
        <v>35341</v>
      </c>
      <c r="I272" s="400">
        <v>19112.542372881355</v>
      </c>
      <c r="J272" s="400">
        <f t="shared" si="12"/>
        <v>135091.272</v>
      </c>
    </row>
    <row r="273" spans="1:10" ht="16.5">
      <c r="A273" s="170"/>
      <c r="B273" s="534" t="s">
        <v>63</v>
      </c>
      <c r="C273" s="527" t="s">
        <v>62</v>
      </c>
      <c r="D273" s="516">
        <f>D261*(0.59/8)</f>
        <v>7.0682</v>
      </c>
      <c r="E273" s="517">
        <v>11500</v>
      </c>
      <c r="F273" s="517">
        <f t="shared" si="13"/>
        <v>81284.3</v>
      </c>
      <c r="G273" s="400">
        <v>12000</v>
      </c>
      <c r="H273" s="400">
        <f t="shared" si="14"/>
        <v>84818.4</v>
      </c>
      <c r="I273" s="400">
        <v>59640</v>
      </c>
      <c r="J273" s="400">
        <f t="shared" si="12"/>
        <v>421547.44799999997</v>
      </c>
    </row>
    <row r="274" spans="1:10" ht="18">
      <c r="A274" s="152"/>
      <c r="B274" s="545" t="s">
        <v>9</v>
      </c>
      <c r="C274" s="549"/>
      <c r="D274" s="536"/>
      <c r="E274" s="586"/>
      <c r="F274" s="517">
        <f t="shared" si="13"/>
        <v>0</v>
      </c>
      <c r="G274" s="400"/>
      <c r="H274" s="400">
        <f t="shared" si="14"/>
        <v>0</v>
      </c>
      <c r="I274" s="400"/>
      <c r="J274" s="400">
        <f t="shared" si="12"/>
        <v>0</v>
      </c>
    </row>
    <row r="275" spans="1:10" ht="16.5">
      <c r="A275" s="176"/>
      <c r="B275" s="588"/>
      <c r="C275" s="589"/>
      <c r="D275" s="590"/>
      <c r="E275" s="591"/>
      <c r="F275" s="517">
        <f t="shared" si="13"/>
        <v>0</v>
      </c>
      <c r="G275" s="400"/>
      <c r="H275" s="400">
        <f t="shared" si="14"/>
        <v>0</v>
      </c>
      <c r="I275" s="400"/>
      <c r="J275" s="400">
        <f t="shared" si="12"/>
        <v>0</v>
      </c>
    </row>
    <row r="276" spans="1:10" s="60" customFormat="1" ht="18">
      <c r="A276" s="152">
        <v>15</v>
      </c>
      <c r="B276" s="551" t="s">
        <v>124</v>
      </c>
      <c r="C276" s="551"/>
      <c r="D276" s="551"/>
      <c r="E276" s="552"/>
      <c r="F276" s="517">
        <f t="shared" si="13"/>
        <v>0</v>
      </c>
      <c r="G276" s="407"/>
      <c r="H276" s="400">
        <f t="shared" si="14"/>
        <v>0</v>
      </c>
      <c r="I276" s="407"/>
      <c r="J276" s="400">
        <f t="shared" si="12"/>
        <v>0</v>
      </c>
    </row>
    <row r="277" spans="1:10" ht="16.5">
      <c r="A277" s="154">
        <v>15.01</v>
      </c>
      <c r="B277" s="508" t="s">
        <v>64</v>
      </c>
      <c r="C277" s="509" t="s">
        <v>50</v>
      </c>
      <c r="D277" s="510">
        <f>D249</f>
        <v>95.84</v>
      </c>
      <c r="E277" s="512">
        <v>3816.3774333333336</v>
      </c>
      <c r="F277" s="512">
        <f t="shared" si="13"/>
        <v>365761.61321066669</v>
      </c>
      <c r="G277" s="403"/>
      <c r="H277" s="367">
        <f>SUBTOTAL(9,H278:H288)</f>
        <v>585639.61648000008</v>
      </c>
      <c r="I277" s="403">
        <v>6000</v>
      </c>
      <c r="J277" s="403">
        <f t="shared" si="12"/>
        <v>575040</v>
      </c>
    </row>
    <row r="278" spans="1:10" ht="18">
      <c r="A278" s="151"/>
      <c r="B278" s="520" t="s">
        <v>51</v>
      </c>
      <c r="C278" s="527"/>
      <c r="D278" s="516"/>
      <c r="E278" s="517"/>
      <c r="F278" s="517">
        <f t="shared" si="13"/>
        <v>0</v>
      </c>
      <c r="G278" s="400"/>
      <c r="H278" s="400">
        <f t="shared" si="14"/>
        <v>0</v>
      </c>
      <c r="I278" s="400"/>
      <c r="J278" s="400">
        <f t="shared" si="12"/>
        <v>0</v>
      </c>
    </row>
    <row r="279" spans="1:10" ht="16.5">
      <c r="A279" s="150"/>
      <c r="B279" s="534" t="s">
        <v>52</v>
      </c>
      <c r="C279" s="527" t="s">
        <v>12</v>
      </c>
      <c r="D279" s="519">
        <f>D277*0.01*(1/4)*1.54*(1440/50)+(D277*0.003*(1/6)*1.57*(1440/50))</f>
        <v>12.793489920000001</v>
      </c>
      <c r="E279" s="517">
        <v>11200</v>
      </c>
      <c r="F279" s="517">
        <f t="shared" si="13"/>
        <v>143287.08710400001</v>
      </c>
      <c r="G279" s="400">
        <v>14000</v>
      </c>
      <c r="H279" s="400">
        <f t="shared" si="14"/>
        <v>179108.85888000001</v>
      </c>
      <c r="I279" s="400">
        <v>11000</v>
      </c>
      <c r="J279" s="400">
        <f t="shared" si="12"/>
        <v>140728.38912000001</v>
      </c>
    </row>
    <row r="280" spans="1:10" ht="16.5">
      <c r="A280" s="170"/>
      <c r="B280" s="534" t="s">
        <v>13</v>
      </c>
      <c r="C280" s="527" t="s">
        <v>28</v>
      </c>
      <c r="D280" s="519">
        <f>D277*0.01*1.5*1.54*(3/4)</f>
        <v>1.660428</v>
      </c>
      <c r="E280" s="517">
        <v>36500</v>
      </c>
      <c r="F280" s="517">
        <f t="shared" si="13"/>
        <v>60605.622000000003</v>
      </c>
      <c r="G280" s="400">
        <v>25000</v>
      </c>
      <c r="H280" s="400">
        <f t="shared" si="14"/>
        <v>41510.699999999997</v>
      </c>
      <c r="I280" s="400">
        <v>40000</v>
      </c>
      <c r="J280" s="400">
        <f t="shared" si="12"/>
        <v>66417.119999999995</v>
      </c>
    </row>
    <row r="281" spans="1:10" ht="16.5">
      <c r="A281" s="170"/>
      <c r="B281" s="534" t="s">
        <v>65</v>
      </c>
      <c r="C281" s="527" t="s">
        <v>31</v>
      </c>
      <c r="D281" s="519">
        <f>D277*0.003*(5/6)*1.57*(1440/50)</f>
        <v>10.8337536</v>
      </c>
      <c r="E281" s="517">
        <v>10400</v>
      </c>
      <c r="F281" s="517">
        <f t="shared" si="13"/>
        <v>112671.03744</v>
      </c>
      <c r="G281" s="400">
        <v>16000</v>
      </c>
      <c r="H281" s="400">
        <f t="shared" si="14"/>
        <v>173340.0576</v>
      </c>
      <c r="I281" s="400">
        <v>10000</v>
      </c>
      <c r="J281" s="400">
        <f t="shared" si="12"/>
        <v>108337.53599999999</v>
      </c>
    </row>
    <row r="282" spans="1:10" ht="18">
      <c r="A282" s="171"/>
      <c r="B282" s="520" t="s">
        <v>5</v>
      </c>
      <c r="C282" s="521"/>
      <c r="D282" s="536"/>
      <c r="E282" s="517"/>
      <c r="F282" s="517">
        <f t="shared" si="13"/>
        <v>0</v>
      </c>
      <c r="G282" s="400"/>
      <c r="H282" s="400">
        <f t="shared" si="14"/>
        <v>0</v>
      </c>
      <c r="I282" s="400"/>
      <c r="J282" s="400">
        <f t="shared" si="12"/>
        <v>0</v>
      </c>
    </row>
    <row r="283" spans="1:10" ht="16.5">
      <c r="A283" s="170"/>
      <c r="B283" s="534"/>
      <c r="C283" s="527"/>
      <c r="D283" s="519"/>
      <c r="E283" s="517"/>
      <c r="F283" s="517">
        <f t="shared" si="13"/>
        <v>0</v>
      </c>
      <c r="G283" s="400"/>
      <c r="H283" s="400">
        <f t="shared" si="14"/>
        <v>0</v>
      </c>
      <c r="I283" s="400"/>
      <c r="J283" s="400">
        <f t="shared" si="12"/>
        <v>0</v>
      </c>
    </row>
    <row r="284" spans="1:10" ht="18">
      <c r="A284" s="592"/>
      <c r="B284" s="520" t="s">
        <v>53</v>
      </c>
      <c r="C284" s="527"/>
      <c r="D284" s="516"/>
      <c r="E284" s="517"/>
      <c r="F284" s="517">
        <f t="shared" si="13"/>
        <v>0</v>
      </c>
      <c r="G284" s="400"/>
      <c r="H284" s="400">
        <f t="shared" si="14"/>
        <v>0</v>
      </c>
      <c r="I284" s="400"/>
      <c r="J284" s="400">
        <f t="shared" si="12"/>
        <v>0</v>
      </c>
    </row>
    <row r="285" spans="1:10" ht="16.5">
      <c r="A285" s="592"/>
      <c r="B285" s="534" t="s">
        <v>34</v>
      </c>
      <c r="C285" s="527" t="s">
        <v>8</v>
      </c>
      <c r="D285" s="519">
        <f>D277/15</f>
        <v>6.389333333333334</v>
      </c>
      <c r="E285" s="517">
        <v>3500</v>
      </c>
      <c r="F285" s="517">
        <f t="shared" si="13"/>
        <v>22362.666666666668</v>
      </c>
      <c r="G285" s="400">
        <v>10000</v>
      </c>
      <c r="H285" s="400">
        <f t="shared" si="14"/>
        <v>63893.333333333343</v>
      </c>
      <c r="I285" s="400">
        <v>27082.319999999992</v>
      </c>
      <c r="J285" s="400">
        <f t="shared" si="12"/>
        <v>173037.96991999997</v>
      </c>
    </row>
    <row r="286" spans="1:10" ht="16.5">
      <c r="A286" s="592"/>
      <c r="B286" s="534" t="s">
        <v>7</v>
      </c>
      <c r="C286" s="527" t="s">
        <v>8</v>
      </c>
      <c r="D286" s="516">
        <f>D285*4</f>
        <v>25.557333333333336</v>
      </c>
      <c r="E286" s="517">
        <v>1050</v>
      </c>
      <c r="F286" s="517">
        <f t="shared" si="13"/>
        <v>26835.200000000004</v>
      </c>
      <c r="G286" s="400">
        <v>5000</v>
      </c>
      <c r="H286" s="400">
        <f t="shared" si="14"/>
        <v>127786.66666666669</v>
      </c>
      <c r="I286" s="400">
        <v>3385.2899999999995</v>
      </c>
      <c r="J286" s="400">
        <f t="shared" si="12"/>
        <v>86518.984960000002</v>
      </c>
    </row>
    <row r="287" spans="1:10" ht="18">
      <c r="A287" s="593"/>
      <c r="B287" s="545" t="s">
        <v>54</v>
      </c>
      <c r="C287" s="521"/>
      <c r="D287" s="537"/>
      <c r="E287" s="517"/>
      <c r="F287" s="517">
        <f t="shared" si="13"/>
        <v>0</v>
      </c>
      <c r="G287" s="400"/>
      <c r="H287" s="400">
        <f t="shared" si="14"/>
        <v>0</v>
      </c>
      <c r="I287" s="400"/>
      <c r="J287" s="400">
        <f t="shared" si="12"/>
        <v>0</v>
      </c>
    </row>
    <row r="288" spans="1:10" ht="16.5">
      <c r="A288" s="594"/>
      <c r="B288" s="548"/>
      <c r="C288" s="546"/>
      <c r="D288" s="519"/>
      <c r="E288" s="517"/>
      <c r="F288" s="517">
        <f t="shared" si="13"/>
        <v>0</v>
      </c>
      <c r="G288" s="400"/>
      <c r="H288" s="400">
        <f t="shared" si="14"/>
        <v>0</v>
      </c>
      <c r="I288" s="400"/>
      <c r="J288" s="400">
        <f t="shared" si="12"/>
        <v>0</v>
      </c>
    </row>
    <row r="289" spans="1:10" s="60" customFormat="1" ht="18">
      <c r="A289" s="595">
        <v>16</v>
      </c>
      <c r="B289" s="551" t="s">
        <v>141</v>
      </c>
      <c r="C289" s="551"/>
      <c r="D289" s="551"/>
      <c r="E289" s="552"/>
      <c r="F289" s="517">
        <f t="shared" si="13"/>
        <v>0</v>
      </c>
      <c r="G289" s="407"/>
      <c r="H289" s="400">
        <f t="shared" si="14"/>
        <v>0</v>
      </c>
      <c r="I289" s="407"/>
      <c r="J289" s="400">
        <f t="shared" si="12"/>
        <v>0</v>
      </c>
    </row>
    <row r="290" spans="1:10" ht="16.5">
      <c r="A290" s="596">
        <v>16.010000000000002</v>
      </c>
      <c r="B290" s="508" t="s">
        <v>66</v>
      </c>
      <c r="C290" s="509" t="s">
        <v>1</v>
      </c>
      <c r="D290" s="511">
        <f>D277+D249</f>
        <v>191.68</v>
      </c>
      <c r="E290" s="512">
        <v>3107.2543020418648</v>
      </c>
      <c r="F290" s="512">
        <f t="shared" si="13"/>
        <v>595598.50461538462</v>
      </c>
      <c r="G290" s="403"/>
      <c r="H290" s="367">
        <f>SUBTOTAL(9,H291:H307)</f>
        <v>2486834.2030769237</v>
      </c>
      <c r="I290" s="403">
        <v>7000</v>
      </c>
      <c r="J290" s="403">
        <f t="shared" si="12"/>
        <v>1341760</v>
      </c>
    </row>
    <row r="291" spans="1:10" ht="18">
      <c r="A291" s="594"/>
      <c r="B291" s="520" t="s">
        <v>2</v>
      </c>
      <c r="C291" s="527"/>
      <c r="D291" s="516"/>
      <c r="E291" s="517"/>
      <c r="F291" s="517">
        <f t="shared" si="13"/>
        <v>0</v>
      </c>
      <c r="G291" s="400"/>
      <c r="H291" s="400">
        <f t="shared" si="14"/>
        <v>0</v>
      </c>
      <c r="I291" s="400"/>
      <c r="J291" s="400">
        <f t="shared" si="12"/>
        <v>0</v>
      </c>
    </row>
    <row r="292" spans="1:10" ht="33">
      <c r="A292" s="594"/>
      <c r="B292" s="534" t="str">
        <f>'[1]Emulsion Paint'!$B$22</f>
        <v>Emulsion paint ( 3 coats)</v>
      </c>
      <c r="C292" s="527" t="s">
        <v>57</v>
      </c>
      <c r="D292" s="516">
        <f>D290*0.07*3</f>
        <v>40.252800000000008</v>
      </c>
      <c r="E292" s="517">
        <v>2856.9441132045467</v>
      </c>
      <c r="F292" s="517">
        <f t="shared" si="13"/>
        <v>115000</v>
      </c>
      <c r="G292" s="400">
        <v>2000</v>
      </c>
      <c r="H292" s="400">
        <f t="shared" si="14"/>
        <v>80505.60000000002</v>
      </c>
      <c r="I292" s="400">
        <v>4000</v>
      </c>
      <c r="J292" s="400">
        <f t="shared" si="12"/>
        <v>161011.20000000004</v>
      </c>
    </row>
    <row r="293" spans="1:10" ht="33">
      <c r="A293" s="597"/>
      <c r="B293" s="534" t="str">
        <f>'[1]Emulsion Paint'!$B$20</f>
        <v>Whiting/stucco ( 2 coats)</v>
      </c>
      <c r="C293" s="527" t="s">
        <v>67</v>
      </c>
      <c r="D293" s="516">
        <f>D290*((50*2)/65)*2</f>
        <v>589.78461538461545</v>
      </c>
      <c r="E293" s="517">
        <v>245.85246243739564</v>
      </c>
      <c r="F293" s="517">
        <f t="shared" si="13"/>
        <v>145000</v>
      </c>
      <c r="G293" s="400">
        <v>3000</v>
      </c>
      <c r="H293" s="400">
        <f t="shared" si="14"/>
        <v>1769353.8461538462</v>
      </c>
      <c r="I293" s="400">
        <v>640</v>
      </c>
      <c r="J293" s="400">
        <f t="shared" si="12"/>
        <v>377462.15384615387</v>
      </c>
    </row>
    <row r="294" spans="1:10" ht="33">
      <c r="A294" s="592"/>
      <c r="B294" s="534" t="str">
        <f>'[1]Emulsion Paint'!$B$19</f>
        <v>Induit/undercoat ( 2 coats)</v>
      </c>
      <c r="C294" s="527" t="s">
        <v>57</v>
      </c>
      <c r="D294" s="516">
        <f>D290*0.07*2</f>
        <v>26.835200000000004</v>
      </c>
      <c r="E294" s="517">
        <v>1100</v>
      </c>
      <c r="F294" s="517">
        <f t="shared" si="13"/>
        <v>29518.720000000005</v>
      </c>
      <c r="G294" s="400">
        <v>2000</v>
      </c>
      <c r="H294" s="400">
        <f t="shared" si="14"/>
        <v>53670.400000000009</v>
      </c>
      <c r="I294" s="400">
        <v>700</v>
      </c>
      <c r="J294" s="400">
        <f t="shared" si="12"/>
        <v>18784.640000000003</v>
      </c>
    </row>
    <row r="295" spans="1:10" ht="33">
      <c r="A295" s="592"/>
      <c r="B295" s="534" t="s">
        <v>68</v>
      </c>
      <c r="C295" s="527" t="s">
        <v>57</v>
      </c>
      <c r="D295" s="516">
        <f>D290*((30/65)*2)</f>
        <v>176.93538461538463</v>
      </c>
      <c r="E295" s="517">
        <v>1100</v>
      </c>
      <c r="F295" s="517">
        <f t="shared" si="13"/>
        <v>194628.92307692309</v>
      </c>
      <c r="G295" s="400">
        <v>1000</v>
      </c>
      <c r="H295" s="400">
        <f t="shared" si="14"/>
        <v>176935.38461538462</v>
      </c>
      <c r="I295" s="400">
        <v>700</v>
      </c>
      <c r="J295" s="400">
        <f t="shared" si="12"/>
        <v>123854.76923076925</v>
      </c>
    </row>
    <row r="296" spans="1:10" ht="16.5">
      <c r="A296" s="592"/>
      <c r="B296" s="534" t="str">
        <f>'[1]Emulsion Paint'!$B$21</f>
        <v>Colle</v>
      </c>
      <c r="C296" s="527" t="s">
        <v>69</v>
      </c>
      <c r="D296" s="516">
        <f>D290*((1/65)*2)</f>
        <v>5.897846153846154</v>
      </c>
      <c r="E296" s="517">
        <v>3500</v>
      </c>
      <c r="F296" s="517">
        <f t="shared" si="13"/>
        <v>20642.461538461539</v>
      </c>
      <c r="G296" s="400">
        <v>15000</v>
      </c>
      <c r="H296" s="400">
        <f t="shared" si="14"/>
        <v>88467.692307692312</v>
      </c>
      <c r="I296" s="400">
        <v>18000</v>
      </c>
      <c r="J296" s="400">
        <f t="shared" si="12"/>
        <v>106161.23076923077</v>
      </c>
    </row>
    <row r="297" spans="1:10" ht="16.5">
      <c r="A297" s="592"/>
      <c r="B297" s="534" t="str">
        <f>'[1]Emulsion Paint'!$B$24</f>
        <v>Roller</v>
      </c>
      <c r="C297" s="527" t="s">
        <v>44</v>
      </c>
      <c r="D297" s="519">
        <f>D290/100</f>
        <v>1.9168000000000001</v>
      </c>
      <c r="E297" s="517">
        <v>3500</v>
      </c>
      <c r="F297" s="517">
        <f t="shared" si="13"/>
        <v>6708.8</v>
      </c>
      <c r="G297" s="400">
        <v>1200</v>
      </c>
      <c r="H297" s="400">
        <f t="shared" si="14"/>
        <v>2300.16</v>
      </c>
      <c r="I297" s="400">
        <v>2200</v>
      </c>
      <c r="J297" s="400">
        <f t="shared" si="12"/>
        <v>4216.96</v>
      </c>
    </row>
    <row r="298" spans="1:10" ht="16.5">
      <c r="A298" s="592"/>
      <c r="B298" s="534" t="str">
        <f>'[1]Emulsion Paint'!$B$23</f>
        <v>Brush</v>
      </c>
      <c r="C298" s="527" t="s">
        <v>44</v>
      </c>
      <c r="D298" s="519">
        <f>D290/100</f>
        <v>1.9168000000000001</v>
      </c>
      <c r="E298" s="517">
        <v>3500</v>
      </c>
      <c r="F298" s="517">
        <f t="shared" si="13"/>
        <v>6708.8</v>
      </c>
      <c r="G298" s="400">
        <v>1200</v>
      </c>
      <c r="H298" s="400">
        <f t="shared" si="14"/>
        <v>2300.16</v>
      </c>
      <c r="I298" s="400">
        <v>600</v>
      </c>
      <c r="J298" s="400">
        <f t="shared" si="12"/>
        <v>1150.08</v>
      </c>
    </row>
    <row r="299" spans="1:10" ht="16.5">
      <c r="A299" s="592"/>
      <c r="B299" s="534" t="s">
        <v>58</v>
      </c>
      <c r="C299" s="527" t="s">
        <v>59</v>
      </c>
      <c r="D299" s="519">
        <f>D290/100</f>
        <v>1.9168000000000001</v>
      </c>
      <c r="E299" s="517">
        <v>3500</v>
      </c>
      <c r="F299" s="517">
        <f t="shared" si="13"/>
        <v>6708.8</v>
      </c>
      <c r="G299" s="400">
        <v>1200</v>
      </c>
      <c r="H299" s="400">
        <f t="shared" si="14"/>
        <v>2300.16</v>
      </c>
      <c r="I299" s="400">
        <v>3500</v>
      </c>
      <c r="J299" s="400">
        <f t="shared" si="12"/>
        <v>6708.8</v>
      </c>
    </row>
    <row r="300" spans="1:10" ht="18">
      <c r="A300" s="593"/>
      <c r="B300" s="520" t="s">
        <v>5</v>
      </c>
      <c r="C300" s="521"/>
      <c r="D300" s="536"/>
      <c r="E300" s="570"/>
      <c r="F300" s="517">
        <f t="shared" si="13"/>
        <v>0</v>
      </c>
      <c r="G300" s="400"/>
      <c r="H300" s="400">
        <f t="shared" si="14"/>
        <v>0</v>
      </c>
      <c r="I300" s="400"/>
      <c r="J300" s="400">
        <f t="shared" si="12"/>
        <v>0</v>
      </c>
    </row>
    <row r="301" spans="1:10" ht="16.5">
      <c r="A301" s="592"/>
      <c r="B301" s="534"/>
      <c r="C301" s="527"/>
      <c r="D301" s="519"/>
      <c r="E301" s="517"/>
      <c r="F301" s="517">
        <f t="shared" si="13"/>
        <v>0</v>
      </c>
      <c r="G301" s="400"/>
      <c r="H301" s="400">
        <f t="shared" si="14"/>
        <v>0</v>
      </c>
      <c r="I301" s="400"/>
      <c r="J301" s="400">
        <f t="shared" si="12"/>
        <v>0</v>
      </c>
    </row>
    <row r="302" spans="1:10" ht="18">
      <c r="A302" s="592"/>
      <c r="B302" s="520" t="s">
        <v>6</v>
      </c>
      <c r="C302" s="527"/>
      <c r="D302" s="516"/>
      <c r="E302" s="517"/>
      <c r="F302" s="517">
        <f t="shared" si="13"/>
        <v>0</v>
      </c>
      <c r="G302" s="400"/>
      <c r="H302" s="400">
        <f t="shared" si="14"/>
        <v>0</v>
      </c>
      <c r="I302" s="400"/>
      <c r="J302" s="400">
        <f t="shared" si="12"/>
        <v>0</v>
      </c>
    </row>
    <row r="303" spans="1:10" ht="16.5">
      <c r="A303" s="592"/>
      <c r="B303" s="534" t="s">
        <v>7</v>
      </c>
      <c r="C303" s="527" t="s">
        <v>62</v>
      </c>
      <c r="D303" s="516">
        <f>D304</f>
        <v>14.1364</v>
      </c>
      <c r="E303" s="517">
        <v>3500</v>
      </c>
      <c r="F303" s="517">
        <f t="shared" si="13"/>
        <v>49477.4</v>
      </c>
      <c r="G303" s="400">
        <v>10000</v>
      </c>
      <c r="H303" s="400">
        <f t="shared" si="14"/>
        <v>141364</v>
      </c>
      <c r="I303" s="400">
        <v>12914.527765567764</v>
      </c>
      <c r="J303" s="400">
        <f t="shared" si="12"/>
        <v>182564.93030517214</v>
      </c>
    </row>
    <row r="304" spans="1:10" ht="33">
      <c r="A304" s="592"/>
      <c r="B304" s="534" t="s">
        <v>70</v>
      </c>
      <c r="C304" s="527" t="s">
        <v>62</v>
      </c>
      <c r="D304" s="516">
        <f>D290*(0.59/8)</f>
        <v>14.1364</v>
      </c>
      <c r="E304" s="517">
        <v>1500</v>
      </c>
      <c r="F304" s="517">
        <f t="shared" si="13"/>
        <v>21204.6</v>
      </c>
      <c r="G304" s="400">
        <v>12000</v>
      </c>
      <c r="H304" s="400">
        <f t="shared" si="14"/>
        <v>169636.8</v>
      </c>
      <c r="I304" s="400">
        <v>25829.055531135527</v>
      </c>
      <c r="J304" s="400">
        <f t="shared" si="12"/>
        <v>365129.86061034427</v>
      </c>
    </row>
    <row r="305" spans="1:10" ht="18">
      <c r="A305" s="593"/>
      <c r="B305" s="520" t="s">
        <v>54</v>
      </c>
      <c r="C305" s="521"/>
      <c r="D305" s="537"/>
      <c r="E305" s="570"/>
      <c r="F305" s="517">
        <f t="shared" si="13"/>
        <v>0</v>
      </c>
      <c r="G305" s="400"/>
      <c r="H305" s="400">
        <f t="shared" si="14"/>
        <v>0</v>
      </c>
      <c r="I305" s="400"/>
      <c r="J305" s="400">
        <f t="shared" si="12"/>
        <v>0</v>
      </c>
    </row>
    <row r="306" spans="1:10" ht="18">
      <c r="A306" s="593"/>
      <c r="B306" s="520"/>
      <c r="C306" s="521"/>
      <c r="D306" s="537"/>
      <c r="E306" s="570"/>
      <c r="F306" s="517">
        <f t="shared" si="13"/>
        <v>0</v>
      </c>
      <c r="G306" s="400"/>
      <c r="H306" s="400">
        <f t="shared" si="14"/>
        <v>0</v>
      </c>
      <c r="I306" s="400"/>
      <c r="J306" s="400">
        <f t="shared" si="12"/>
        <v>0</v>
      </c>
    </row>
    <row r="307" spans="1:10" ht="37.700000000000003" customHeight="1">
      <c r="A307" s="598">
        <v>17</v>
      </c>
      <c r="B307" s="599" t="s">
        <v>131</v>
      </c>
      <c r="C307" s="599"/>
      <c r="D307" s="599"/>
      <c r="E307" s="600"/>
      <c r="F307" s="517">
        <f t="shared" si="13"/>
        <v>0</v>
      </c>
      <c r="G307" s="400"/>
      <c r="H307" s="400">
        <f t="shared" si="14"/>
        <v>0</v>
      </c>
      <c r="I307" s="400"/>
      <c r="J307" s="400">
        <f t="shared" si="12"/>
        <v>0</v>
      </c>
    </row>
    <row r="308" spans="1:10" s="605" customFormat="1" ht="16.5">
      <c r="A308" s="601">
        <v>17.010000000000002</v>
      </c>
      <c r="B308" s="533" t="s">
        <v>128</v>
      </c>
      <c r="C308" s="602" t="s">
        <v>129</v>
      </c>
      <c r="D308" s="603">
        <v>2</v>
      </c>
      <c r="E308" s="512">
        <v>124488</v>
      </c>
      <c r="F308" s="512">
        <f t="shared" si="13"/>
        <v>248976</v>
      </c>
      <c r="G308" s="604"/>
      <c r="H308" s="367">
        <f>SUBTOTAL(9,H309:H315)</f>
        <v>60000</v>
      </c>
      <c r="I308" s="604">
        <v>328500</v>
      </c>
      <c r="J308" s="403">
        <f t="shared" si="12"/>
        <v>657000</v>
      </c>
    </row>
    <row r="309" spans="1:10" s="605" customFormat="1" ht="18">
      <c r="A309" s="606"/>
      <c r="B309" s="513" t="s">
        <v>29</v>
      </c>
      <c r="C309" s="514"/>
      <c r="D309" s="516"/>
      <c r="E309" s="517"/>
      <c r="F309" s="517">
        <f t="shared" si="13"/>
        <v>0</v>
      </c>
      <c r="G309" s="607"/>
      <c r="H309" s="400">
        <f t="shared" si="14"/>
        <v>0</v>
      </c>
      <c r="I309" s="607"/>
      <c r="J309" s="400">
        <f t="shared" si="12"/>
        <v>0</v>
      </c>
    </row>
    <row r="310" spans="1:10" ht="16.5">
      <c r="A310" s="608"/>
      <c r="B310" s="518" t="s">
        <v>143</v>
      </c>
      <c r="C310" s="514" t="s">
        <v>144</v>
      </c>
      <c r="D310" s="516">
        <f>D308</f>
        <v>2</v>
      </c>
      <c r="E310" s="517">
        <v>95760</v>
      </c>
      <c r="F310" s="517">
        <f t="shared" si="13"/>
        <v>191520</v>
      </c>
      <c r="G310" s="400">
        <v>15000</v>
      </c>
      <c r="H310" s="400">
        <f t="shared" si="14"/>
        <v>30000</v>
      </c>
      <c r="I310" s="400">
        <v>313500</v>
      </c>
      <c r="J310" s="400">
        <f t="shared" si="12"/>
        <v>627000</v>
      </c>
    </row>
    <row r="311" spans="1:10" s="77" customFormat="1" ht="19.7" customHeight="1">
      <c r="A311" s="609"/>
      <c r="B311" s="513" t="s">
        <v>5</v>
      </c>
      <c r="C311" s="535"/>
      <c r="D311" s="537"/>
      <c r="E311" s="570"/>
      <c r="F311" s="517">
        <f t="shared" si="13"/>
        <v>0</v>
      </c>
      <c r="G311" s="414"/>
      <c r="H311" s="400">
        <f t="shared" si="14"/>
        <v>0</v>
      </c>
      <c r="I311" s="414"/>
      <c r="J311" s="400">
        <f t="shared" si="12"/>
        <v>0</v>
      </c>
    </row>
    <row r="312" spans="1:10" s="605" customFormat="1" ht="16.5">
      <c r="A312" s="608"/>
      <c r="B312" s="518"/>
      <c r="C312" s="514"/>
      <c r="D312" s="516"/>
      <c r="E312" s="517"/>
      <c r="F312" s="517">
        <f t="shared" si="13"/>
        <v>0</v>
      </c>
      <c r="G312" s="607"/>
      <c r="H312" s="400">
        <f t="shared" si="14"/>
        <v>0</v>
      </c>
      <c r="I312" s="607"/>
      <c r="J312" s="400">
        <f t="shared" si="12"/>
        <v>0</v>
      </c>
    </row>
    <row r="313" spans="1:10" ht="18">
      <c r="A313" s="610"/>
      <c r="B313" s="513" t="s">
        <v>33</v>
      </c>
      <c r="C313" s="514"/>
      <c r="D313" s="516"/>
      <c r="E313" s="517"/>
      <c r="F313" s="517">
        <f t="shared" si="13"/>
        <v>0</v>
      </c>
      <c r="G313" s="400"/>
      <c r="H313" s="400">
        <f t="shared" si="14"/>
        <v>0</v>
      </c>
      <c r="I313" s="400"/>
      <c r="J313" s="400">
        <f t="shared" si="12"/>
        <v>0</v>
      </c>
    </row>
    <row r="314" spans="1:10" s="77" customFormat="1" ht="18">
      <c r="A314" s="608"/>
      <c r="B314" s="518" t="s">
        <v>34</v>
      </c>
      <c r="C314" s="514" t="s">
        <v>21</v>
      </c>
      <c r="D314" s="519">
        <f>D310/2</f>
        <v>1</v>
      </c>
      <c r="E314" s="517">
        <v>14364</v>
      </c>
      <c r="F314" s="517">
        <f t="shared" si="13"/>
        <v>14364</v>
      </c>
      <c r="G314" s="414">
        <v>10000</v>
      </c>
      <c r="H314" s="400">
        <f t="shared" si="14"/>
        <v>10000</v>
      </c>
      <c r="I314" s="414">
        <v>24000</v>
      </c>
      <c r="J314" s="400">
        <f t="shared" si="12"/>
        <v>24000</v>
      </c>
    </row>
    <row r="315" spans="1:10" s="61" customFormat="1" ht="16.5">
      <c r="A315" s="608"/>
      <c r="B315" s="518" t="s">
        <v>7</v>
      </c>
      <c r="C315" s="514" t="s">
        <v>21</v>
      </c>
      <c r="D315" s="519">
        <f>+D314*4</f>
        <v>4</v>
      </c>
      <c r="E315" s="517">
        <v>10773</v>
      </c>
      <c r="F315" s="517">
        <f t="shared" si="13"/>
        <v>43092</v>
      </c>
      <c r="G315" s="404">
        <v>5000</v>
      </c>
      <c r="H315" s="400">
        <f t="shared" si="14"/>
        <v>20000</v>
      </c>
      <c r="I315" s="404">
        <v>1500</v>
      </c>
      <c r="J315" s="400">
        <f t="shared" si="12"/>
        <v>6000</v>
      </c>
    </row>
    <row r="316" spans="1:10" ht="18">
      <c r="A316" s="609"/>
      <c r="B316" s="513" t="s">
        <v>39</v>
      </c>
      <c r="C316" s="535"/>
      <c r="D316" s="537"/>
      <c r="E316" s="570"/>
      <c r="F316" s="517">
        <f t="shared" si="13"/>
        <v>0</v>
      </c>
      <c r="G316" s="400"/>
      <c r="H316" s="400">
        <f t="shared" si="14"/>
        <v>0</v>
      </c>
      <c r="I316" s="400"/>
      <c r="J316" s="400">
        <f t="shared" si="12"/>
        <v>0</v>
      </c>
    </row>
    <row r="317" spans="1:10" ht="16.5">
      <c r="A317" s="601">
        <v>17.02</v>
      </c>
      <c r="B317" s="533" t="s">
        <v>130</v>
      </c>
      <c r="C317" s="602" t="s">
        <v>129</v>
      </c>
      <c r="D317" s="603">
        <v>2</v>
      </c>
      <c r="E317" s="512">
        <v>108750</v>
      </c>
      <c r="F317" s="512">
        <f t="shared" si="13"/>
        <v>217500</v>
      </c>
      <c r="G317" s="403"/>
      <c r="H317" s="367">
        <f>SUBTOTAL(9,H318:H324)</f>
        <v>60000</v>
      </c>
      <c r="I317" s="403">
        <v>284500</v>
      </c>
      <c r="J317" s="403">
        <f t="shared" si="12"/>
        <v>569000</v>
      </c>
    </row>
    <row r="318" spans="1:10" ht="18.75" customHeight="1">
      <c r="A318" s="606"/>
      <c r="B318" s="513" t="s">
        <v>29</v>
      </c>
      <c r="C318" s="514"/>
      <c r="D318" s="516"/>
      <c r="E318" s="517"/>
      <c r="F318" s="517">
        <f t="shared" si="13"/>
        <v>0</v>
      </c>
      <c r="G318" s="400"/>
      <c r="H318" s="400">
        <f t="shared" si="14"/>
        <v>0</v>
      </c>
      <c r="I318" s="400"/>
      <c r="J318" s="400">
        <f t="shared" si="12"/>
        <v>0</v>
      </c>
    </row>
    <row r="319" spans="1:10" ht="17.45" customHeight="1">
      <c r="A319" s="608"/>
      <c r="B319" s="518" t="s">
        <v>143</v>
      </c>
      <c r="C319" s="514" t="s">
        <v>144</v>
      </c>
      <c r="D319" s="516">
        <v>2</v>
      </c>
      <c r="E319" s="517">
        <v>75000</v>
      </c>
      <c r="F319" s="517">
        <f t="shared" si="13"/>
        <v>150000</v>
      </c>
      <c r="G319" s="400">
        <v>15000</v>
      </c>
      <c r="H319" s="400">
        <f t="shared" si="14"/>
        <v>30000</v>
      </c>
      <c r="I319" s="400">
        <v>269500</v>
      </c>
      <c r="J319" s="400">
        <f t="shared" si="12"/>
        <v>539000</v>
      </c>
    </row>
    <row r="320" spans="1:10" ht="18">
      <c r="A320" s="609"/>
      <c r="B320" s="513" t="s">
        <v>5</v>
      </c>
      <c r="C320" s="535"/>
      <c r="D320" s="537"/>
      <c r="E320" s="570"/>
      <c r="F320" s="517">
        <f t="shared" si="13"/>
        <v>0</v>
      </c>
      <c r="G320" s="400"/>
      <c r="H320" s="400">
        <f t="shared" si="14"/>
        <v>0</v>
      </c>
      <c r="I320" s="400"/>
      <c r="J320" s="400">
        <f t="shared" si="12"/>
        <v>0</v>
      </c>
    </row>
    <row r="321" spans="1:10" ht="16.5">
      <c r="A321" s="608"/>
      <c r="B321" s="518"/>
      <c r="C321" s="514"/>
      <c r="D321" s="516"/>
      <c r="E321" s="517"/>
      <c r="F321" s="517">
        <f t="shared" si="13"/>
        <v>0</v>
      </c>
      <c r="G321" s="400"/>
      <c r="H321" s="400">
        <f t="shared" si="14"/>
        <v>0</v>
      </c>
      <c r="I321" s="400"/>
      <c r="J321" s="400">
        <f t="shared" si="12"/>
        <v>0</v>
      </c>
    </row>
    <row r="322" spans="1:10" ht="18">
      <c r="A322" s="610"/>
      <c r="B322" s="513" t="s">
        <v>33</v>
      </c>
      <c r="C322" s="514"/>
      <c r="D322" s="516"/>
      <c r="E322" s="517"/>
      <c r="F322" s="517">
        <f t="shared" si="13"/>
        <v>0</v>
      </c>
      <c r="G322" s="400"/>
      <c r="H322" s="400">
        <f t="shared" si="14"/>
        <v>0</v>
      </c>
      <c r="I322" s="400"/>
      <c r="J322" s="400">
        <f t="shared" si="12"/>
        <v>0</v>
      </c>
    </row>
    <row r="323" spans="1:10" ht="16.5">
      <c r="A323" s="608"/>
      <c r="B323" s="518" t="s">
        <v>34</v>
      </c>
      <c r="C323" s="514" t="s">
        <v>21</v>
      </c>
      <c r="D323" s="519">
        <f>D317/2</f>
        <v>1</v>
      </c>
      <c r="E323" s="517">
        <v>22500</v>
      </c>
      <c r="F323" s="517">
        <f t="shared" si="13"/>
        <v>22500</v>
      </c>
      <c r="G323" s="400">
        <v>10000</v>
      </c>
      <c r="H323" s="400">
        <f t="shared" si="14"/>
        <v>10000</v>
      </c>
      <c r="I323" s="400">
        <v>24000</v>
      </c>
      <c r="J323" s="400">
        <f t="shared" si="12"/>
        <v>24000</v>
      </c>
    </row>
    <row r="324" spans="1:10" ht="16.5">
      <c r="A324" s="608"/>
      <c r="B324" s="518" t="s">
        <v>7</v>
      </c>
      <c r="C324" s="514" t="s">
        <v>21</v>
      </c>
      <c r="D324" s="519">
        <f>+D323*4</f>
        <v>4</v>
      </c>
      <c r="E324" s="517">
        <v>11250</v>
      </c>
      <c r="F324" s="517">
        <f t="shared" si="13"/>
        <v>45000</v>
      </c>
      <c r="G324" s="400">
        <v>5000</v>
      </c>
      <c r="H324" s="400">
        <f t="shared" si="14"/>
        <v>20000</v>
      </c>
      <c r="I324" s="400">
        <v>1500</v>
      </c>
      <c r="J324" s="400">
        <f t="shared" si="12"/>
        <v>6000</v>
      </c>
    </row>
    <row r="325" spans="1:10" ht="18">
      <c r="A325" s="609"/>
      <c r="B325" s="513" t="s">
        <v>39</v>
      </c>
      <c r="C325" s="535"/>
      <c r="D325" s="537"/>
      <c r="E325" s="570"/>
      <c r="F325" s="517">
        <f t="shared" si="13"/>
        <v>0</v>
      </c>
      <c r="G325" s="400"/>
      <c r="H325" s="400">
        <f t="shared" si="14"/>
        <v>0</v>
      </c>
      <c r="I325" s="400"/>
      <c r="J325" s="400">
        <f t="shared" ref="J325:J335" si="15">D325*I325</f>
        <v>0</v>
      </c>
    </row>
    <row r="326" spans="1:10" ht="16.5">
      <c r="A326" s="611"/>
      <c r="B326" s="534"/>
      <c r="C326" s="612"/>
      <c r="D326" s="613"/>
      <c r="E326" s="416"/>
      <c r="F326" s="517">
        <f t="shared" si="13"/>
        <v>0</v>
      </c>
      <c r="G326" s="400"/>
      <c r="H326" s="400">
        <f t="shared" si="14"/>
        <v>0</v>
      </c>
      <c r="I326" s="400"/>
      <c r="J326" s="400">
        <f t="shared" si="15"/>
        <v>0</v>
      </c>
    </row>
    <row r="327" spans="1:10" ht="34.700000000000003" customHeight="1">
      <c r="A327" s="598">
        <v>18</v>
      </c>
      <c r="B327" s="599" t="s">
        <v>132</v>
      </c>
      <c r="C327" s="599"/>
      <c r="D327" s="599"/>
      <c r="E327" s="600"/>
      <c r="F327" s="517">
        <f t="shared" si="13"/>
        <v>0</v>
      </c>
      <c r="G327" s="400"/>
      <c r="H327" s="400">
        <f t="shared" si="14"/>
        <v>0</v>
      </c>
      <c r="I327" s="400"/>
      <c r="J327" s="400">
        <f t="shared" si="15"/>
        <v>0</v>
      </c>
    </row>
    <row r="328" spans="1:10" ht="33">
      <c r="A328" s="601">
        <v>18.010000000000002</v>
      </c>
      <c r="B328" s="533" t="s">
        <v>133</v>
      </c>
      <c r="C328" s="602" t="s">
        <v>129</v>
      </c>
      <c r="D328" s="603">
        <v>2</v>
      </c>
      <c r="E328" s="614">
        <v>319410</v>
      </c>
      <c r="F328" s="512">
        <f t="shared" ref="F328:F335" si="16">D328*E328</f>
        <v>638820</v>
      </c>
      <c r="G328" s="403"/>
      <c r="H328" s="367">
        <f>SUBTOTAL(9,H329:H335)</f>
        <v>390000</v>
      </c>
      <c r="I328" s="403">
        <v>468600</v>
      </c>
      <c r="J328" s="403">
        <f t="shared" si="15"/>
        <v>937200</v>
      </c>
    </row>
    <row r="329" spans="1:10" ht="18">
      <c r="A329" s="606"/>
      <c r="B329" s="513" t="s">
        <v>29</v>
      </c>
      <c r="C329" s="514"/>
      <c r="D329" s="516"/>
      <c r="E329" s="517"/>
      <c r="F329" s="517">
        <f t="shared" si="16"/>
        <v>0</v>
      </c>
      <c r="G329" s="400"/>
      <c r="H329" s="400">
        <f t="shared" ref="H328:H335" si="17">D329*G329</f>
        <v>0</v>
      </c>
      <c r="I329" s="400"/>
      <c r="J329" s="400">
        <f t="shared" si="15"/>
        <v>0</v>
      </c>
    </row>
    <row r="330" spans="1:10" ht="16.5">
      <c r="A330" s="608"/>
      <c r="B330" s="518" t="s">
        <v>166</v>
      </c>
      <c r="C330" s="514" t="s">
        <v>144</v>
      </c>
      <c r="D330" s="516">
        <f>D328</f>
        <v>2</v>
      </c>
      <c r="E330" s="517">
        <v>245700.00000000003</v>
      </c>
      <c r="F330" s="517">
        <f t="shared" si="16"/>
        <v>491400.00000000006</v>
      </c>
      <c r="G330" s="400">
        <v>180000</v>
      </c>
      <c r="H330" s="400">
        <f t="shared" si="17"/>
        <v>360000</v>
      </c>
      <c r="I330" s="400">
        <v>453600</v>
      </c>
      <c r="J330" s="400">
        <f t="shared" si="15"/>
        <v>907200</v>
      </c>
    </row>
    <row r="331" spans="1:10" ht="18">
      <c r="A331" s="609"/>
      <c r="B331" s="513" t="s">
        <v>5</v>
      </c>
      <c r="C331" s="535"/>
      <c r="D331" s="537"/>
      <c r="E331" s="570"/>
      <c r="F331" s="517">
        <f t="shared" si="16"/>
        <v>0</v>
      </c>
      <c r="G331" s="400"/>
      <c r="H331" s="400">
        <f t="shared" si="17"/>
        <v>0</v>
      </c>
      <c r="I331" s="400"/>
      <c r="J331" s="400">
        <f t="shared" si="15"/>
        <v>0</v>
      </c>
    </row>
    <row r="332" spans="1:10" ht="16.5">
      <c r="A332" s="608"/>
      <c r="B332" s="518"/>
      <c r="C332" s="514"/>
      <c r="D332" s="516"/>
      <c r="E332" s="517"/>
      <c r="F332" s="517">
        <f t="shared" si="16"/>
        <v>0</v>
      </c>
      <c r="G332" s="400"/>
      <c r="H332" s="400">
        <f t="shared" si="17"/>
        <v>0</v>
      </c>
      <c r="I332" s="400"/>
      <c r="J332" s="400">
        <f t="shared" si="15"/>
        <v>0</v>
      </c>
    </row>
    <row r="333" spans="1:10" ht="18">
      <c r="A333" s="610"/>
      <c r="B333" s="513" t="s">
        <v>33</v>
      </c>
      <c r="C333" s="514"/>
      <c r="D333" s="516"/>
      <c r="E333" s="517"/>
      <c r="F333" s="517">
        <f t="shared" si="16"/>
        <v>0</v>
      </c>
      <c r="G333" s="400"/>
      <c r="H333" s="400">
        <f t="shared" si="17"/>
        <v>0</v>
      </c>
      <c r="I333" s="400"/>
      <c r="J333" s="400">
        <f t="shared" si="15"/>
        <v>0</v>
      </c>
    </row>
    <row r="334" spans="1:10" ht="16.5">
      <c r="A334" s="608"/>
      <c r="B334" s="518" t="s">
        <v>34</v>
      </c>
      <c r="C334" s="514" t="s">
        <v>21</v>
      </c>
      <c r="D334" s="519">
        <f>D328/2</f>
        <v>1</v>
      </c>
      <c r="E334" s="517">
        <v>36855</v>
      </c>
      <c r="F334" s="517">
        <f t="shared" si="16"/>
        <v>36855</v>
      </c>
      <c r="G334" s="400">
        <v>10000</v>
      </c>
      <c r="H334" s="400">
        <f t="shared" si="17"/>
        <v>10000</v>
      </c>
      <c r="I334" s="400">
        <v>24000</v>
      </c>
      <c r="J334" s="400">
        <f t="shared" si="15"/>
        <v>24000</v>
      </c>
    </row>
    <row r="335" spans="1:10" ht="16.5">
      <c r="A335" s="608"/>
      <c r="B335" s="518" t="s">
        <v>7</v>
      </c>
      <c r="C335" s="514" t="s">
        <v>21</v>
      </c>
      <c r="D335" s="519">
        <f>+D334*4</f>
        <v>4</v>
      </c>
      <c r="E335" s="517">
        <v>27641.25</v>
      </c>
      <c r="F335" s="517">
        <f t="shared" si="16"/>
        <v>110565</v>
      </c>
      <c r="G335" s="400">
        <v>5000</v>
      </c>
      <c r="H335" s="400">
        <f t="shared" si="17"/>
        <v>20000</v>
      </c>
      <c r="I335" s="400">
        <v>1500</v>
      </c>
      <c r="J335" s="400">
        <f t="shared" si="15"/>
        <v>6000</v>
      </c>
    </row>
    <row r="336" spans="1:10" ht="18">
      <c r="A336" s="615"/>
      <c r="B336" s="616" t="s">
        <v>39</v>
      </c>
      <c r="C336" s="617"/>
      <c r="D336" s="618"/>
      <c r="E336" s="570"/>
      <c r="F336" s="570"/>
      <c r="G336" s="400"/>
      <c r="H336" s="400"/>
      <c r="I336" s="400"/>
      <c r="J336" s="400"/>
    </row>
    <row r="337" spans="1:10" s="77" customFormat="1" ht="18">
      <c r="A337" s="619"/>
      <c r="B337" s="620" t="s">
        <v>177</v>
      </c>
      <c r="C337" s="620"/>
      <c r="D337" s="620"/>
      <c r="E337" s="621"/>
      <c r="F337" s="621">
        <f>F5+F9+F16+F24+F32+F42+F60+F80+F91+F102+F114+F127+F138+F149+F162+F173+F184+F198+F218+F237+F249+F261+F277+F290+F308+F317+F328</f>
        <v>12511072.99288431</v>
      </c>
      <c r="G337" s="414"/>
      <c r="H337" s="414">
        <f>H5+H9+H16+H24+H32+H42+H60+H80+H91+H102+H114+H127+H138+H149+H162+H173+H184+H198+H218+H237+H249+H261+H277+H290+H308+H317+H328</f>
        <v>13292616.065502727</v>
      </c>
      <c r="I337" s="414"/>
      <c r="J337" s="414">
        <f>J5+J9+J16+J24+J32+J42+J60+J80+J91+J102+J114+J127+J138+J149+J162+J173+J184+J198+J218+J237+J249+J261+J277+J290+J308+J317+J328</f>
        <v>14874410.814845482</v>
      </c>
    </row>
    <row r="357" spans="3:6" ht="18.75" customHeight="1"/>
    <row r="358" spans="3:6" s="60" customFormat="1" ht="18.75" customHeight="1">
      <c r="C358" s="248"/>
      <c r="D358" s="249"/>
      <c r="E358" s="285"/>
      <c r="F358" s="285"/>
    </row>
  </sheetData>
  <mergeCells count="18">
    <mergeCell ref="B327:D327"/>
    <mergeCell ref="B337:D337"/>
    <mergeCell ref="B4:D4"/>
    <mergeCell ref="B15:D15"/>
    <mergeCell ref="B41:D41"/>
    <mergeCell ref="B79:D79"/>
    <mergeCell ref="B126:D126"/>
    <mergeCell ref="B307:D307"/>
    <mergeCell ref="B289:D289"/>
    <mergeCell ref="B276:D276"/>
    <mergeCell ref="B248:D248"/>
    <mergeCell ref="B183:D183"/>
    <mergeCell ref="B161:D161"/>
    <mergeCell ref="B197:D197"/>
    <mergeCell ref="B217:D217"/>
    <mergeCell ref="E2:F2"/>
    <mergeCell ref="G2:H2"/>
    <mergeCell ref="I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328"/>
  <sheetViews>
    <sheetView topLeftCell="C315" workbookViewId="0">
      <selection activeCell="F9" sqref="F9"/>
    </sheetView>
  </sheetViews>
  <sheetFormatPr defaultColWidth="8.85546875" defaultRowHeight="15.75"/>
  <cols>
    <col min="1" max="1" width="8.85546875" style="211"/>
    <col min="2" max="2" width="73.85546875" style="103" customWidth="1"/>
    <col min="3" max="3" width="8.85546875" style="105"/>
    <col min="4" max="4" width="17.140625" style="127" customWidth="1"/>
    <col min="5" max="6" width="19.140625" style="250" customWidth="1"/>
    <col min="7" max="7" width="12.42578125" customWidth="1"/>
    <col min="8" max="8" width="17.140625" customWidth="1"/>
    <col min="9" max="9" width="11.7109375" customWidth="1"/>
    <col min="10" max="10" width="16.85546875" customWidth="1"/>
  </cols>
  <sheetData>
    <row r="2" spans="1:10" ht="21">
      <c r="E2" s="446" t="s">
        <v>225</v>
      </c>
      <c r="F2" s="446"/>
      <c r="G2" s="477" t="s">
        <v>229</v>
      </c>
      <c r="H2" s="477"/>
      <c r="I2" s="477" t="s">
        <v>228</v>
      </c>
      <c r="J2" s="477"/>
    </row>
    <row r="3" spans="1:10" s="66" customFormat="1" ht="44.45" customHeight="1">
      <c r="A3" s="207"/>
      <c r="B3" s="139" t="s">
        <v>120</v>
      </c>
      <c r="C3" s="139" t="s">
        <v>121</v>
      </c>
      <c r="D3" s="139" t="s">
        <v>122</v>
      </c>
      <c r="E3" s="447" t="s">
        <v>227</v>
      </c>
      <c r="F3" s="447" t="s">
        <v>226</v>
      </c>
      <c r="G3" s="448" t="s">
        <v>227</v>
      </c>
      <c r="H3" s="449" t="s">
        <v>226</v>
      </c>
      <c r="I3" s="448" t="s">
        <v>227</v>
      </c>
      <c r="J3" s="449" t="s">
        <v>226</v>
      </c>
    </row>
    <row r="4" spans="1:10" ht="18" customHeight="1">
      <c r="A4" s="140">
        <v>1</v>
      </c>
      <c r="B4" s="473" t="s">
        <v>93</v>
      </c>
      <c r="C4" s="473"/>
      <c r="D4" s="473"/>
      <c r="E4" s="366"/>
      <c r="F4" s="366"/>
    </row>
    <row r="5" spans="1:10" ht="18" customHeight="1">
      <c r="A5" s="179">
        <v>1.01</v>
      </c>
      <c r="B5" s="15" t="s">
        <v>94</v>
      </c>
      <c r="C5" s="34" t="s">
        <v>28</v>
      </c>
      <c r="D5" s="120">
        <f>20*0.8*0.4</f>
        <v>6.4</v>
      </c>
      <c r="E5" s="367">
        <v>2300</v>
      </c>
      <c r="F5" s="367">
        <f>D5*E5</f>
        <v>14720</v>
      </c>
      <c r="G5" s="403"/>
      <c r="H5" s="403"/>
      <c r="I5" s="403">
        <v>10000</v>
      </c>
      <c r="J5" s="403">
        <f t="shared" ref="J5:J68" si="0">D5*I5</f>
        <v>64000</v>
      </c>
    </row>
    <row r="6" spans="1:10" ht="18" customHeight="1">
      <c r="A6" s="180"/>
      <c r="B6" s="7" t="s">
        <v>6</v>
      </c>
      <c r="C6" s="8"/>
      <c r="D6" s="109"/>
      <c r="E6" s="368"/>
      <c r="F6" s="368"/>
      <c r="G6" s="400"/>
      <c r="H6" s="400"/>
      <c r="I6" s="400"/>
      <c r="J6" s="400">
        <f t="shared" si="0"/>
        <v>0</v>
      </c>
    </row>
    <row r="7" spans="1:10" ht="18" customHeight="1">
      <c r="A7" s="180"/>
      <c r="B7" s="12" t="s">
        <v>7</v>
      </c>
      <c r="C7" s="8" t="s">
        <v>8</v>
      </c>
      <c r="D7" s="113">
        <f>D5/0.9</f>
        <v>7.1111111111111116</v>
      </c>
      <c r="E7" s="368">
        <v>2070</v>
      </c>
      <c r="F7" s="368">
        <f>D7*E7</f>
        <v>14720.000000000002</v>
      </c>
      <c r="G7" s="400">
        <v>5000</v>
      </c>
      <c r="H7" s="400">
        <f t="shared" ref="H7:H70" si="1">D7*G7</f>
        <v>35555.555555555555</v>
      </c>
      <c r="I7" s="400">
        <v>9000</v>
      </c>
      <c r="J7" s="400">
        <f t="shared" si="0"/>
        <v>64000.000000000007</v>
      </c>
    </row>
    <row r="8" spans="1:10" ht="18" customHeight="1">
      <c r="A8" s="159"/>
      <c r="B8" s="57" t="s">
        <v>9</v>
      </c>
      <c r="C8" s="58"/>
      <c r="D8" s="115"/>
      <c r="E8" s="369"/>
      <c r="F8" s="368">
        <f t="shared" ref="F8:F71" si="2">D8*E8</f>
        <v>0</v>
      </c>
      <c r="G8" s="400"/>
      <c r="H8" s="400">
        <f t="shared" si="1"/>
        <v>0</v>
      </c>
      <c r="I8" s="400"/>
      <c r="J8" s="400">
        <f t="shared" si="0"/>
        <v>0</v>
      </c>
    </row>
    <row r="9" spans="1:10" ht="18" customHeight="1">
      <c r="A9" s="179">
        <v>1.03</v>
      </c>
      <c r="B9" s="15" t="s">
        <v>114</v>
      </c>
      <c r="C9" s="34" t="s">
        <v>28</v>
      </c>
      <c r="D9" s="120">
        <f>(0.75*0.75*1.25)*4</f>
        <v>2.8125</v>
      </c>
      <c r="E9" s="367">
        <v>1500</v>
      </c>
      <c r="F9" s="367">
        <f t="shared" si="2"/>
        <v>4218.75</v>
      </c>
      <c r="G9" s="403"/>
      <c r="H9" s="403">
        <f t="shared" si="1"/>
        <v>0</v>
      </c>
      <c r="I9" s="403">
        <v>11111.1</v>
      </c>
      <c r="J9" s="403">
        <f t="shared" si="0"/>
        <v>31249.96875</v>
      </c>
    </row>
    <row r="10" spans="1:10" ht="18" customHeight="1">
      <c r="A10" s="180"/>
      <c r="B10" s="7" t="s">
        <v>6</v>
      </c>
      <c r="C10" s="8"/>
      <c r="D10" s="113"/>
      <c r="E10" s="368"/>
      <c r="F10" s="368">
        <f t="shared" si="2"/>
        <v>0</v>
      </c>
      <c r="G10" s="400"/>
      <c r="H10" s="400">
        <f t="shared" si="1"/>
        <v>0</v>
      </c>
      <c r="I10" s="400"/>
      <c r="J10" s="400">
        <f t="shared" si="0"/>
        <v>0</v>
      </c>
    </row>
    <row r="11" spans="1:10" ht="18" customHeight="1">
      <c r="A11" s="180"/>
      <c r="B11" s="12" t="s">
        <v>92</v>
      </c>
      <c r="C11" s="8" t="s">
        <v>8</v>
      </c>
      <c r="D11" s="113">
        <f>D12/10</f>
        <v>0.3125</v>
      </c>
      <c r="E11" s="368">
        <v>1500</v>
      </c>
      <c r="F11" s="368">
        <f t="shared" si="2"/>
        <v>468.75</v>
      </c>
      <c r="G11" s="400">
        <v>15000</v>
      </c>
      <c r="H11" s="400">
        <f t="shared" si="1"/>
        <v>4687.5</v>
      </c>
      <c r="I11" s="400">
        <v>10000</v>
      </c>
      <c r="J11" s="400">
        <f t="shared" si="0"/>
        <v>3125</v>
      </c>
    </row>
    <row r="12" spans="1:10" ht="18" customHeight="1">
      <c r="A12" s="180"/>
      <c r="B12" s="12" t="s">
        <v>7</v>
      </c>
      <c r="C12" s="8" t="s">
        <v>8</v>
      </c>
      <c r="D12" s="113">
        <f>D9/0.9</f>
        <v>3.125</v>
      </c>
      <c r="E12" s="368">
        <v>1200</v>
      </c>
      <c r="F12" s="368">
        <f t="shared" si="2"/>
        <v>3750</v>
      </c>
      <c r="G12" s="400">
        <v>5000</v>
      </c>
      <c r="H12" s="400">
        <f t="shared" si="1"/>
        <v>15625</v>
      </c>
      <c r="I12" s="400">
        <v>9000</v>
      </c>
      <c r="J12" s="400">
        <f t="shared" si="0"/>
        <v>28125</v>
      </c>
    </row>
    <row r="13" spans="1:10" s="51" customFormat="1" ht="19.5" customHeight="1">
      <c r="A13" s="159"/>
      <c r="B13" s="57" t="s">
        <v>9</v>
      </c>
      <c r="C13" s="58"/>
      <c r="D13" s="110"/>
      <c r="E13" s="369"/>
      <c r="F13" s="368">
        <f t="shared" si="2"/>
        <v>0</v>
      </c>
      <c r="G13" s="401"/>
      <c r="H13" s="400">
        <f t="shared" si="1"/>
        <v>0</v>
      </c>
      <c r="I13" s="401"/>
      <c r="J13" s="400">
        <f t="shared" si="0"/>
        <v>0</v>
      </c>
    </row>
    <row r="14" spans="1:10" ht="19.5" customHeight="1">
      <c r="A14" s="181"/>
      <c r="B14" s="57"/>
      <c r="C14" s="42"/>
      <c r="D14" s="111"/>
      <c r="E14" s="370"/>
      <c r="F14" s="368">
        <f t="shared" si="2"/>
        <v>0</v>
      </c>
      <c r="G14" s="400"/>
      <c r="H14" s="400">
        <f t="shared" si="1"/>
        <v>0</v>
      </c>
      <c r="I14" s="400"/>
      <c r="J14" s="400">
        <f t="shared" si="0"/>
        <v>0</v>
      </c>
    </row>
    <row r="15" spans="1:10" ht="34.5" customHeight="1">
      <c r="A15" s="146">
        <v>2</v>
      </c>
      <c r="B15" s="467" t="s">
        <v>0</v>
      </c>
      <c r="C15" s="467"/>
      <c r="D15" s="467"/>
      <c r="E15" s="372"/>
      <c r="F15" s="368">
        <f t="shared" si="2"/>
        <v>0</v>
      </c>
      <c r="G15" s="400"/>
      <c r="H15" s="400">
        <f t="shared" si="1"/>
        <v>0</v>
      </c>
      <c r="I15" s="400"/>
      <c r="J15" s="400">
        <f t="shared" si="0"/>
        <v>0</v>
      </c>
    </row>
    <row r="16" spans="1:10" ht="18" customHeight="1">
      <c r="A16" s="182">
        <v>2.0099999999999998</v>
      </c>
      <c r="B16" s="2" t="s">
        <v>71</v>
      </c>
      <c r="C16" s="3" t="s">
        <v>1</v>
      </c>
      <c r="D16" s="112">
        <f>20*0.4</f>
        <v>8</v>
      </c>
      <c r="E16" s="371">
        <v>1208.3333333333333</v>
      </c>
      <c r="F16" s="367">
        <f t="shared" si="2"/>
        <v>9666.6666666666661</v>
      </c>
      <c r="G16" s="403"/>
      <c r="H16" s="403">
        <f t="shared" si="1"/>
        <v>0</v>
      </c>
      <c r="I16" s="403">
        <v>2000</v>
      </c>
      <c r="J16" s="403">
        <f t="shared" si="0"/>
        <v>16000</v>
      </c>
    </row>
    <row r="17" spans="1:10" ht="18" customHeight="1">
      <c r="A17" s="180"/>
      <c r="B17" s="7" t="s">
        <v>2</v>
      </c>
      <c r="C17" s="8"/>
      <c r="D17" s="113"/>
      <c r="E17" s="368"/>
      <c r="F17" s="368">
        <f t="shared" si="2"/>
        <v>0</v>
      </c>
      <c r="G17" s="400"/>
      <c r="H17" s="400">
        <f t="shared" si="1"/>
        <v>0</v>
      </c>
      <c r="I17" s="400"/>
      <c r="J17" s="400">
        <f t="shared" si="0"/>
        <v>0</v>
      </c>
    </row>
    <row r="18" spans="1:10" ht="18" customHeight="1">
      <c r="A18" s="180"/>
      <c r="B18" s="46" t="s">
        <v>3</v>
      </c>
      <c r="C18" s="8" t="s">
        <v>4</v>
      </c>
      <c r="D18" s="113">
        <f>D16/10</f>
        <v>0.8</v>
      </c>
      <c r="E18" s="368">
        <v>10500</v>
      </c>
      <c r="F18" s="368">
        <f t="shared" si="2"/>
        <v>8400</v>
      </c>
      <c r="G18" s="400">
        <v>12000</v>
      </c>
      <c r="H18" s="400">
        <f t="shared" si="1"/>
        <v>9600</v>
      </c>
      <c r="I18" s="400">
        <v>18000</v>
      </c>
      <c r="J18" s="400">
        <f t="shared" si="0"/>
        <v>14400</v>
      </c>
    </row>
    <row r="19" spans="1:10" ht="18" customHeight="1">
      <c r="A19" s="155"/>
      <c r="B19" s="57" t="s">
        <v>5</v>
      </c>
      <c r="C19" s="11"/>
      <c r="D19" s="116"/>
      <c r="E19" s="378"/>
      <c r="F19" s="368">
        <f t="shared" si="2"/>
        <v>0</v>
      </c>
      <c r="G19" s="400"/>
      <c r="H19" s="400">
        <f t="shared" si="1"/>
        <v>0</v>
      </c>
      <c r="I19" s="400"/>
      <c r="J19" s="400">
        <f t="shared" si="0"/>
        <v>0</v>
      </c>
    </row>
    <row r="20" spans="1:10" ht="18" customHeight="1">
      <c r="A20" s="180"/>
      <c r="B20" s="46"/>
      <c r="C20" s="8"/>
      <c r="D20" s="113"/>
      <c r="E20" s="368"/>
      <c r="F20" s="368">
        <f t="shared" si="2"/>
        <v>0</v>
      </c>
      <c r="G20" s="400"/>
      <c r="H20" s="400">
        <f t="shared" si="1"/>
        <v>0</v>
      </c>
      <c r="I20" s="400"/>
      <c r="J20" s="400">
        <f t="shared" si="0"/>
        <v>0</v>
      </c>
    </row>
    <row r="21" spans="1:10" ht="18" customHeight="1">
      <c r="A21" s="180"/>
      <c r="B21" s="7" t="s">
        <v>6</v>
      </c>
      <c r="C21" s="8"/>
      <c r="D21" s="113"/>
      <c r="E21" s="368"/>
      <c r="F21" s="368">
        <f t="shared" si="2"/>
        <v>0</v>
      </c>
      <c r="G21" s="400"/>
      <c r="H21" s="400">
        <f t="shared" si="1"/>
        <v>0</v>
      </c>
      <c r="I21" s="400"/>
      <c r="J21" s="400">
        <f t="shared" si="0"/>
        <v>0</v>
      </c>
    </row>
    <row r="22" spans="1:10" ht="18" customHeight="1">
      <c r="A22" s="180"/>
      <c r="B22" s="12" t="s">
        <v>7</v>
      </c>
      <c r="C22" s="8" t="s">
        <v>8</v>
      </c>
      <c r="D22" s="113">
        <f>D16/60</f>
        <v>0.13333333333333333</v>
      </c>
      <c r="E22" s="368">
        <v>9500</v>
      </c>
      <c r="F22" s="368">
        <f t="shared" si="2"/>
        <v>1266.6666666666667</v>
      </c>
      <c r="G22" s="400">
        <v>5000</v>
      </c>
      <c r="H22" s="400">
        <f t="shared" si="1"/>
        <v>666.66666666666663</v>
      </c>
      <c r="I22" s="400">
        <v>12000</v>
      </c>
      <c r="J22" s="400">
        <f t="shared" si="0"/>
        <v>1600</v>
      </c>
    </row>
    <row r="23" spans="1:10" ht="18" customHeight="1">
      <c r="A23" s="159"/>
      <c r="B23" s="57" t="s">
        <v>9</v>
      </c>
      <c r="C23" s="58"/>
      <c r="D23" s="115"/>
      <c r="E23" s="369"/>
      <c r="F23" s="368">
        <f t="shared" si="2"/>
        <v>0</v>
      </c>
      <c r="G23" s="400"/>
      <c r="H23" s="400">
        <f t="shared" si="1"/>
        <v>0</v>
      </c>
      <c r="I23" s="400"/>
      <c r="J23" s="400">
        <f t="shared" si="0"/>
        <v>0</v>
      </c>
    </row>
    <row r="24" spans="1:10" ht="18" customHeight="1">
      <c r="A24" s="182">
        <v>2.02</v>
      </c>
      <c r="B24" s="2" t="s">
        <v>97</v>
      </c>
      <c r="C24" s="3" t="s">
        <v>1</v>
      </c>
      <c r="D24" s="112">
        <v>25</v>
      </c>
      <c r="E24" s="371">
        <v>1144.5</v>
      </c>
      <c r="F24" s="367">
        <f t="shared" si="2"/>
        <v>28612.5</v>
      </c>
      <c r="G24" s="403"/>
      <c r="H24" s="403">
        <f t="shared" si="1"/>
        <v>0</v>
      </c>
      <c r="I24" s="403">
        <v>2000</v>
      </c>
      <c r="J24" s="403">
        <f t="shared" si="0"/>
        <v>50000</v>
      </c>
    </row>
    <row r="25" spans="1:10" ht="18" customHeight="1">
      <c r="A25" s="180"/>
      <c r="B25" s="7" t="s">
        <v>2</v>
      </c>
      <c r="C25" s="8"/>
      <c r="D25" s="113"/>
      <c r="E25" s="368"/>
      <c r="F25" s="368">
        <f t="shared" si="2"/>
        <v>0</v>
      </c>
      <c r="G25" s="400"/>
      <c r="H25" s="400">
        <f t="shared" si="1"/>
        <v>0</v>
      </c>
      <c r="I25" s="400"/>
      <c r="J25" s="400">
        <f t="shared" si="0"/>
        <v>0</v>
      </c>
    </row>
    <row r="26" spans="1:10" ht="18" customHeight="1">
      <c r="A26" s="180"/>
      <c r="B26" s="46" t="s">
        <v>3</v>
      </c>
      <c r="C26" s="8" t="s">
        <v>4</v>
      </c>
      <c r="D26" s="113">
        <f>D24/10</f>
        <v>2.5</v>
      </c>
      <c r="E26" s="368">
        <v>10500</v>
      </c>
      <c r="F26" s="368">
        <f t="shared" si="2"/>
        <v>26250</v>
      </c>
      <c r="G26" s="400">
        <v>12000</v>
      </c>
      <c r="H26" s="400">
        <f t="shared" si="1"/>
        <v>30000</v>
      </c>
      <c r="I26" s="400">
        <v>18000</v>
      </c>
      <c r="J26" s="400">
        <f t="shared" si="0"/>
        <v>45000</v>
      </c>
    </row>
    <row r="27" spans="1:10" ht="18" customHeight="1">
      <c r="A27" s="155"/>
      <c r="B27" s="57" t="s">
        <v>5</v>
      </c>
      <c r="C27" s="11"/>
      <c r="D27" s="116"/>
      <c r="E27" s="378"/>
      <c r="F27" s="368">
        <f t="shared" si="2"/>
        <v>0</v>
      </c>
      <c r="G27" s="400"/>
      <c r="H27" s="400">
        <f t="shared" si="1"/>
        <v>0</v>
      </c>
      <c r="I27" s="400"/>
      <c r="J27" s="400">
        <f t="shared" si="0"/>
        <v>0</v>
      </c>
    </row>
    <row r="28" spans="1:10" ht="18" customHeight="1">
      <c r="A28" s="180"/>
      <c r="B28" s="46"/>
      <c r="C28" s="8"/>
      <c r="D28" s="113"/>
      <c r="E28" s="368"/>
      <c r="F28" s="368">
        <f t="shared" si="2"/>
        <v>0</v>
      </c>
      <c r="G28" s="400"/>
      <c r="H28" s="400">
        <f t="shared" si="1"/>
        <v>0</v>
      </c>
      <c r="I28" s="400"/>
      <c r="J28" s="400">
        <f t="shared" si="0"/>
        <v>0</v>
      </c>
    </row>
    <row r="29" spans="1:10" ht="18" customHeight="1">
      <c r="A29" s="180"/>
      <c r="B29" s="7" t="s">
        <v>6</v>
      </c>
      <c r="C29" s="8"/>
      <c r="D29" s="113"/>
      <c r="E29" s="368"/>
      <c r="F29" s="368">
        <f t="shared" si="2"/>
        <v>0</v>
      </c>
      <c r="G29" s="400"/>
      <c r="H29" s="400">
        <f t="shared" si="1"/>
        <v>0</v>
      </c>
      <c r="I29" s="400"/>
      <c r="J29" s="400">
        <f t="shared" si="0"/>
        <v>0</v>
      </c>
    </row>
    <row r="30" spans="1:10" ht="18" customHeight="1">
      <c r="A30" s="180"/>
      <c r="B30" s="12" t="s">
        <v>7</v>
      </c>
      <c r="C30" s="8" t="s">
        <v>8</v>
      </c>
      <c r="D30" s="113">
        <f>D24/60</f>
        <v>0.41666666666666669</v>
      </c>
      <c r="E30" s="368">
        <v>5500</v>
      </c>
      <c r="F30" s="368">
        <f t="shared" si="2"/>
        <v>2291.666666666667</v>
      </c>
      <c r="G30" s="400">
        <v>5000</v>
      </c>
      <c r="H30" s="400">
        <f t="shared" si="1"/>
        <v>2083.3333333333335</v>
      </c>
      <c r="I30" s="400">
        <v>12000</v>
      </c>
      <c r="J30" s="400">
        <f t="shared" si="0"/>
        <v>5000</v>
      </c>
    </row>
    <row r="31" spans="1:10" ht="18" customHeight="1">
      <c r="A31" s="159"/>
      <c r="B31" s="57" t="s">
        <v>9</v>
      </c>
      <c r="C31" s="58"/>
      <c r="D31" s="115"/>
      <c r="E31" s="369"/>
      <c r="F31" s="368">
        <f t="shared" si="2"/>
        <v>0</v>
      </c>
      <c r="G31" s="400"/>
      <c r="H31" s="400">
        <f t="shared" si="1"/>
        <v>0</v>
      </c>
      <c r="I31" s="400"/>
      <c r="J31" s="400">
        <f t="shared" si="0"/>
        <v>0</v>
      </c>
    </row>
    <row r="32" spans="1:10" ht="18" customHeight="1">
      <c r="A32" s="179">
        <v>2.0299999999999998</v>
      </c>
      <c r="B32" s="15" t="s">
        <v>96</v>
      </c>
      <c r="C32" s="34" t="s">
        <v>1</v>
      </c>
      <c r="D32" s="120">
        <f>(0.75*0.75)*4</f>
        <v>2.25</v>
      </c>
      <c r="E32" s="367">
        <v>1141.6666666666667</v>
      </c>
      <c r="F32" s="367">
        <f t="shared" si="2"/>
        <v>2568.75</v>
      </c>
      <c r="G32" s="403"/>
      <c r="H32" s="403">
        <f t="shared" si="1"/>
        <v>0</v>
      </c>
      <c r="I32" s="403">
        <v>2000</v>
      </c>
      <c r="J32" s="403">
        <f t="shared" si="0"/>
        <v>4500</v>
      </c>
    </row>
    <row r="33" spans="1:10" ht="18" customHeight="1">
      <c r="A33" s="180"/>
      <c r="B33" s="7" t="s">
        <v>2</v>
      </c>
      <c r="C33" s="8"/>
      <c r="D33" s="113"/>
      <c r="E33" s="368"/>
      <c r="F33" s="368">
        <f t="shared" si="2"/>
        <v>0</v>
      </c>
      <c r="G33" s="400"/>
      <c r="H33" s="400">
        <f t="shared" si="1"/>
        <v>0</v>
      </c>
      <c r="I33" s="400"/>
      <c r="J33" s="400">
        <f t="shared" si="0"/>
        <v>0</v>
      </c>
    </row>
    <row r="34" spans="1:10" ht="18" customHeight="1">
      <c r="A34" s="180"/>
      <c r="B34" s="46" t="s">
        <v>3</v>
      </c>
      <c r="C34" s="8" t="s">
        <v>4</v>
      </c>
      <c r="D34" s="113">
        <f>D32/10</f>
        <v>0.22500000000000001</v>
      </c>
      <c r="E34" s="368">
        <v>10500</v>
      </c>
      <c r="F34" s="368">
        <f t="shared" si="2"/>
        <v>2362.5</v>
      </c>
      <c r="G34" s="400">
        <v>12000</v>
      </c>
      <c r="H34" s="400">
        <f t="shared" si="1"/>
        <v>2700</v>
      </c>
      <c r="I34" s="400">
        <v>18000</v>
      </c>
      <c r="J34" s="400">
        <f t="shared" si="0"/>
        <v>4050</v>
      </c>
    </row>
    <row r="35" spans="1:10" ht="18" customHeight="1">
      <c r="A35" s="155"/>
      <c r="B35" s="57" t="s">
        <v>5</v>
      </c>
      <c r="C35" s="11"/>
      <c r="D35" s="116"/>
      <c r="E35" s="378"/>
      <c r="F35" s="368">
        <f t="shared" si="2"/>
        <v>0</v>
      </c>
      <c r="G35" s="400"/>
      <c r="H35" s="400">
        <f t="shared" si="1"/>
        <v>0</v>
      </c>
      <c r="I35" s="400"/>
      <c r="J35" s="400">
        <f t="shared" si="0"/>
        <v>0</v>
      </c>
    </row>
    <row r="36" spans="1:10" ht="18" customHeight="1">
      <c r="A36" s="155"/>
      <c r="B36" s="57"/>
      <c r="C36" s="11"/>
      <c r="D36" s="116"/>
      <c r="E36" s="378"/>
      <c r="F36" s="368">
        <f t="shared" si="2"/>
        <v>0</v>
      </c>
      <c r="G36" s="400"/>
      <c r="H36" s="400">
        <f t="shared" si="1"/>
        <v>0</v>
      </c>
      <c r="I36" s="400"/>
      <c r="J36" s="400">
        <f t="shared" si="0"/>
        <v>0</v>
      </c>
    </row>
    <row r="37" spans="1:10" ht="18" customHeight="1">
      <c r="A37" s="180"/>
      <c r="B37" s="7" t="s">
        <v>6</v>
      </c>
      <c r="C37" s="8"/>
      <c r="D37" s="113"/>
      <c r="E37" s="368"/>
      <c r="F37" s="368">
        <f t="shared" si="2"/>
        <v>0</v>
      </c>
      <c r="G37" s="400"/>
      <c r="H37" s="400">
        <f t="shared" si="1"/>
        <v>0</v>
      </c>
      <c r="I37" s="400"/>
      <c r="J37" s="400">
        <f t="shared" si="0"/>
        <v>0</v>
      </c>
    </row>
    <row r="38" spans="1:10" ht="18" customHeight="1">
      <c r="A38" s="180"/>
      <c r="B38" s="12" t="s">
        <v>7</v>
      </c>
      <c r="C38" s="8" t="s">
        <v>8</v>
      </c>
      <c r="D38" s="113">
        <f>D32/60</f>
        <v>3.7499999999999999E-2</v>
      </c>
      <c r="E38" s="368">
        <v>5500</v>
      </c>
      <c r="F38" s="368">
        <f t="shared" si="2"/>
        <v>206.25</v>
      </c>
      <c r="G38" s="400">
        <v>5000</v>
      </c>
      <c r="H38" s="400">
        <f t="shared" si="1"/>
        <v>187.5</v>
      </c>
      <c r="I38" s="400">
        <v>12000</v>
      </c>
      <c r="J38" s="400">
        <f t="shared" si="0"/>
        <v>450</v>
      </c>
    </row>
    <row r="39" spans="1:10" ht="18" customHeight="1">
      <c r="A39" s="159"/>
      <c r="B39" s="57" t="s">
        <v>9</v>
      </c>
      <c r="C39" s="58"/>
      <c r="D39" s="115"/>
      <c r="E39" s="369"/>
      <c r="F39" s="368">
        <f t="shared" si="2"/>
        <v>0</v>
      </c>
      <c r="G39" s="400"/>
      <c r="H39" s="400">
        <f t="shared" si="1"/>
        <v>0</v>
      </c>
      <c r="I39" s="400"/>
      <c r="J39" s="400">
        <f t="shared" si="0"/>
        <v>0</v>
      </c>
    </row>
    <row r="40" spans="1:10" ht="18" customHeight="1">
      <c r="A40" s="159"/>
      <c r="B40" s="57"/>
      <c r="C40" s="58"/>
      <c r="D40" s="110"/>
      <c r="E40" s="369"/>
      <c r="F40" s="368">
        <f t="shared" si="2"/>
        <v>0</v>
      </c>
      <c r="G40" s="400"/>
      <c r="H40" s="400">
        <f t="shared" si="1"/>
        <v>0</v>
      </c>
      <c r="I40" s="400"/>
      <c r="J40" s="400">
        <f t="shared" si="0"/>
        <v>0</v>
      </c>
    </row>
    <row r="41" spans="1:10" ht="18" customHeight="1">
      <c r="A41" s="149">
        <v>3</v>
      </c>
      <c r="B41" s="474" t="s">
        <v>77</v>
      </c>
      <c r="C41" s="474"/>
      <c r="D41" s="474"/>
      <c r="E41" s="372"/>
      <c r="F41" s="368">
        <f t="shared" si="2"/>
        <v>0</v>
      </c>
      <c r="G41" s="400"/>
      <c r="H41" s="400">
        <f t="shared" si="1"/>
        <v>0</v>
      </c>
      <c r="I41" s="400"/>
      <c r="J41" s="400">
        <f t="shared" si="0"/>
        <v>0</v>
      </c>
    </row>
    <row r="42" spans="1:10" ht="18" customHeight="1">
      <c r="A42" s="179">
        <v>3.01</v>
      </c>
      <c r="B42" s="15" t="s">
        <v>71</v>
      </c>
      <c r="C42" s="3" t="s">
        <v>1</v>
      </c>
      <c r="D42" s="112">
        <f>20*0.4</f>
        <v>8</v>
      </c>
      <c r="E42" s="371">
        <v>5119.5405128205139</v>
      </c>
      <c r="F42" s="367">
        <f t="shared" si="2"/>
        <v>40956.324102564111</v>
      </c>
      <c r="G42" s="403"/>
      <c r="H42" s="403">
        <f t="shared" si="1"/>
        <v>0</v>
      </c>
      <c r="I42" s="403">
        <v>9007.2489230769243</v>
      </c>
      <c r="J42" s="403">
        <f t="shared" si="0"/>
        <v>72057.991384615394</v>
      </c>
    </row>
    <row r="43" spans="1:10" ht="18" customHeight="1">
      <c r="A43" s="183"/>
      <c r="B43" s="18"/>
      <c r="C43" s="19" t="s">
        <v>10</v>
      </c>
      <c r="D43" s="130">
        <f>D42*0.05</f>
        <v>0.4</v>
      </c>
      <c r="E43" s="373"/>
      <c r="F43" s="368">
        <f t="shared" si="2"/>
        <v>0</v>
      </c>
      <c r="G43" s="400"/>
      <c r="H43" s="400">
        <f t="shared" si="1"/>
        <v>0</v>
      </c>
      <c r="I43" s="400">
        <v>180144.97846153847</v>
      </c>
      <c r="J43" s="400">
        <f t="shared" si="0"/>
        <v>72057.991384615394</v>
      </c>
    </row>
    <row r="44" spans="1:10" ht="18" customHeight="1">
      <c r="A44" s="184"/>
      <c r="B44" s="93" t="s">
        <v>2</v>
      </c>
      <c r="C44" s="22"/>
      <c r="D44" s="113"/>
      <c r="E44" s="374"/>
      <c r="F44" s="368">
        <f t="shared" si="2"/>
        <v>0</v>
      </c>
      <c r="G44" s="400"/>
      <c r="H44" s="400">
        <f t="shared" si="1"/>
        <v>0</v>
      </c>
      <c r="I44" s="400"/>
      <c r="J44" s="400">
        <f t="shared" si="0"/>
        <v>0</v>
      </c>
    </row>
    <row r="45" spans="1:10" ht="18" customHeight="1">
      <c r="A45" s="184"/>
      <c r="B45" s="94" t="s">
        <v>11</v>
      </c>
      <c r="C45" s="22" t="s">
        <v>12</v>
      </c>
      <c r="D45" s="113">
        <f>D43*(1/13)*1.57*(1440/50)</f>
        <v>1.3912615384615388</v>
      </c>
      <c r="E45" s="374">
        <v>11200</v>
      </c>
      <c r="F45" s="368">
        <f t="shared" si="2"/>
        <v>15582.129230769235</v>
      </c>
      <c r="G45" s="400">
        <v>14000</v>
      </c>
      <c r="H45" s="400">
        <f t="shared" si="1"/>
        <v>19477.661538461543</v>
      </c>
      <c r="I45" s="400">
        <v>13500</v>
      </c>
      <c r="J45" s="400">
        <f t="shared" si="0"/>
        <v>18782.030769230772</v>
      </c>
    </row>
    <row r="46" spans="1:10" ht="18" customHeight="1">
      <c r="A46" s="184"/>
      <c r="B46" s="94" t="s">
        <v>13</v>
      </c>
      <c r="C46" s="22" t="s">
        <v>10</v>
      </c>
      <c r="D46" s="113">
        <f>D43*(4/13)*1.57</f>
        <v>0.19323076923076926</v>
      </c>
      <c r="E46" s="374">
        <v>30500</v>
      </c>
      <c r="F46" s="368">
        <f t="shared" si="2"/>
        <v>5893.5384615384628</v>
      </c>
      <c r="G46" s="400">
        <v>25000</v>
      </c>
      <c r="H46" s="400">
        <f t="shared" si="1"/>
        <v>4830.7692307692314</v>
      </c>
      <c r="I46" s="400">
        <v>40000</v>
      </c>
      <c r="J46" s="400">
        <f t="shared" si="0"/>
        <v>7729.2307692307704</v>
      </c>
    </row>
    <row r="47" spans="1:10" ht="18" customHeight="1">
      <c r="A47" s="184"/>
      <c r="B47" s="94" t="s">
        <v>14</v>
      </c>
      <c r="C47" s="22" t="s">
        <v>10</v>
      </c>
      <c r="D47" s="113">
        <f>D43*(8/13)*1.57</f>
        <v>0.38646153846153852</v>
      </c>
      <c r="E47" s="374">
        <v>42300</v>
      </c>
      <c r="F47" s="368">
        <f t="shared" si="2"/>
        <v>16347.323076923079</v>
      </c>
      <c r="G47" s="400">
        <v>27000</v>
      </c>
      <c r="H47" s="400">
        <f t="shared" si="1"/>
        <v>10434.461538461541</v>
      </c>
      <c r="I47" s="400">
        <v>48312</v>
      </c>
      <c r="J47" s="400">
        <f t="shared" si="0"/>
        <v>18670.729846153848</v>
      </c>
    </row>
    <row r="48" spans="1:10" ht="18" customHeight="1">
      <c r="A48" s="184"/>
      <c r="B48" s="94" t="s">
        <v>15</v>
      </c>
      <c r="C48" s="22" t="s">
        <v>16</v>
      </c>
      <c r="D48" s="113">
        <f>D52*10</f>
        <v>0.66666666666666663</v>
      </c>
      <c r="E48" s="374">
        <v>2200</v>
      </c>
      <c r="F48" s="368">
        <f t="shared" si="2"/>
        <v>1466.6666666666665</v>
      </c>
      <c r="G48" s="400">
        <v>2000</v>
      </c>
      <c r="H48" s="400">
        <f t="shared" si="1"/>
        <v>1333.3333333333333</v>
      </c>
      <c r="I48" s="400">
        <v>2000</v>
      </c>
      <c r="J48" s="400">
        <f t="shared" si="0"/>
        <v>1333.3333333333333</v>
      </c>
    </row>
    <row r="49" spans="1:10" ht="18" customHeight="1">
      <c r="A49" s="153"/>
      <c r="B49" s="93" t="s">
        <v>18</v>
      </c>
      <c r="C49" s="27"/>
      <c r="D49" s="116"/>
      <c r="E49" s="381"/>
      <c r="F49" s="368">
        <f t="shared" si="2"/>
        <v>0</v>
      </c>
      <c r="G49" s="400"/>
      <c r="H49" s="400">
        <f t="shared" si="1"/>
        <v>0</v>
      </c>
      <c r="I49" s="400"/>
      <c r="J49" s="400">
        <f t="shared" si="0"/>
        <v>0</v>
      </c>
    </row>
    <row r="50" spans="1:10" ht="18" customHeight="1">
      <c r="A50" s="184"/>
      <c r="B50" s="94"/>
      <c r="C50" s="22"/>
      <c r="D50" s="113"/>
      <c r="E50" s="374"/>
      <c r="F50" s="368">
        <f t="shared" si="2"/>
        <v>0</v>
      </c>
      <c r="G50" s="400"/>
      <c r="H50" s="400">
        <f t="shared" si="1"/>
        <v>0</v>
      </c>
      <c r="I50" s="400"/>
      <c r="J50" s="400">
        <f t="shared" si="0"/>
        <v>0</v>
      </c>
    </row>
    <row r="51" spans="1:10" ht="18" customHeight="1">
      <c r="A51" s="184"/>
      <c r="B51" s="93" t="s">
        <v>19</v>
      </c>
      <c r="C51" s="22"/>
      <c r="D51" s="113"/>
      <c r="E51" s="374"/>
      <c r="F51" s="368">
        <f t="shared" si="2"/>
        <v>0</v>
      </c>
      <c r="G51" s="400"/>
      <c r="H51" s="400">
        <f t="shared" si="1"/>
        <v>0</v>
      </c>
      <c r="I51" s="400"/>
      <c r="J51" s="400">
        <f t="shared" si="0"/>
        <v>0</v>
      </c>
    </row>
    <row r="52" spans="1:10" ht="18" customHeight="1">
      <c r="A52" s="184"/>
      <c r="B52" s="94" t="s">
        <v>20</v>
      </c>
      <c r="C52" s="22" t="s">
        <v>21</v>
      </c>
      <c r="D52" s="113">
        <f>D43/6</f>
        <v>6.6666666666666666E-2</v>
      </c>
      <c r="E52" s="374">
        <v>5000</v>
      </c>
      <c r="F52" s="368">
        <f t="shared" si="2"/>
        <v>333.33333333333331</v>
      </c>
      <c r="G52" s="400">
        <v>50000</v>
      </c>
      <c r="H52" s="400">
        <f t="shared" si="1"/>
        <v>3333.3333333333335</v>
      </c>
      <c r="I52" s="400">
        <v>80000</v>
      </c>
      <c r="J52" s="400">
        <f t="shared" si="0"/>
        <v>5333.333333333333</v>
      </c>
    </row>
    <row r="53" spans="1:10" ht="18" customHeight="1">
      <c r="A53" s="153"/>
      <c r="B53" s="93" t="s">
        <v>23</v>
      </c>
      <c r="C53" s="27"/>
      <c r="D53" s="116"/>
      <c r="E53" s="381"/>
      <c r="F53" s="368">
        <f t="shared" si="2"/>
        <v>0</v>
      </c>
      <c r="G53" s="400"/>
      <c r="H53" s="400">
        <f t="shared" si="1"/>
        <v>0</v>
      </c>
      <c r="I53" s="400"/>
      <c r="J53" s="400">
        <f t="shared" si="0"/>
        <v>0</v>
      </c>
    </row>
    <row r="54" spans="1:10" ht="18" customHeight="1">
      <c r="A54" s="184"/>
      <c r="B54" s="94"/>
      <c r="C54" s="22"/>
      <c r="D54" s="113"/>
      <c r="E54" s="374"/>
      <c r="F54" s="368">
        <f t="shared" si="2"/>
        <v>0</v>
      </c>
      <c r="G54" s="400"/>
      <c r="H54" s="400">
        <f t="shared" si="1"/>
        <v>0</v>
      </c>
      <c r="I54" s="400"/>
      <c r="J54" s="400">
        <f t="shared" si="0"/>
        <v>0</v>
      </c>
    </row>
    <row r="55" spans="1:10" ht="18" customHeight="1">
      <c r="A55" s="184"/>
      <c r="B55" s="93" t="s">
        <v>6</v>
      </c>
      <c r="C55" s="22"/>
      <c r="D55" s="113"/>
      <c r="E55" s="374"/>
      <c r="F55" s="368">
        <f t="shared" si="2"/>
        <v>0</v>
      </c>
      <c r="G55" s="400"/>
      <c r="H55" s="400">
        <f t="shared" si="1"/>
        <v>0</v>
      </c>
      <c r="I55" s="400"/>
      <c r="J55" s="400">
        <f t="shared" si="0"/>
        <v>0</v>
      </c>
    </row>
    <row r="56" spans="1:10" ht="18" customHeight="1">
      <c r="A56" s="184"/>
      <c r="B56" s="94" t="s">
        <v>24</v>
      </c>
      <c r="C56" s="22" t="s">
        <v>21</v>
      </c>
      <c r="D56" s="113">
        <f>(D43/6)*2</f>
        <v>0.13333333333333333</v>
      </c>
      <c r="E56" s="374">
        <v>1800</v>
      </c>
      <c r="F56" s="368">
        <f t="shared" si="2"/>
        <v>240</v>
      </c>
      <c r="G56" s="400">
        <v>10000</v>
      </c>
      <c r="H56" s="400">
        <f t="shared" si="1"/>
        <v>1333.3333333333333</v>
      </c>
      <c r="I56" s="400">
        <v>90000</v>
      </c>
      <c r="J56" s="400">
        <f t="shared" si="0"/>
        <v>12000</v>
      </c>
    </row>
    <row r="57" spans="1:10" ht="18" customHeight="1">
      <c r="A57" s="184"/>
      <c r="B57" s="94" t="s">
        <v>25</v>
      </c>
      <c r="C57" s="22" t="s">
        <v>21</v>
      </c>
      <c r="D57" s="113">
        <f>(D43/6)*18</f>
        <v>1.2</v>
      </c>
      <c r="E57" s="374">
        <v>800</v>
      </c>
      <c r="F57" s="368">
        <f t="shared" si="2"/>
        <v>960</v>
      </c>
      <c r="G57" s="400">
        <v>5000</v>
      </c>
      <c r="H57" s="400">
        <f t="shared" si="1"/>
        <v>6000</v>
      </c>
      <c r="I57" s="400">
        <v>5730</v>
      </c>
      <c r="J57" s="400">
        <f t="shared" si="0"/>
        <v>6876</v>
      </c>
    </row>
    <row r="58" spans="1:10" ht="18" customHeight="1">
      <c r="A58" s="184"/>
      <c r="B58" s="94" t="s">
        <v>26</v>
      </c>
      <c r="C58" s="22" t="s">
        <v>21</v>
      </c>
      <c r="D58" s="113">
        <f>D52</f>
        <v>6.6666666666666666E-2</v>
      </c>
      <c r="E58" s="374">
        <v>2000</v>
      </c>
      <c r="F58" s="368">
        <f t="shared" si="2"/>
        <v>133.33333333333334</v>
      </c>
      <c r="G58" s="400">
        <v>10000</v>
      </c>
      <c r="H58" s="400">
        <f t="shared" si="1"/>
        <v>666.66666666666663</v>
      </c>
      <c r="I58" s="400">
        <v>20000</v>
      </c>
      <c r="J58" s="400">
        <f t="shared" si="0"/>
        <v>1333.3333333333333</v>
      </c>
    </row>
    <row r="59" spans="1:10" ht="18" customHeight="1">
      <c r="A59" s="153"/>
      <c r="B59" s="93" t="s">
        <v>27</v>
      </c>
      <c r="C59" s="27"/>
      <c r="D59" s="116"/>
      <c r="E59" s="381"/>
      <c r="F59" s="368">
        <f t="shared" si="2"/>
        <v>0</v>
      </c>
      <c r="G59" s="400"/>
      <c r="H59" s="400">
        <f t="shared" si="1"/>
        <v>0</v>
      </c>
      <c r="I59" s="400"/>
      <c r="J59" s="400">
        <f t="shared" si="0"/>
        <v>0</v>
      </c>
    </row>
    <row r="60" spans="1:10" ht="18" customHeight="1">
      <c r="A60" s="179">
        <v>3.02</v>
      </c>
      <c r="B60" s="15" t="s">
        <v>98</v>
      </c>
      <c r="C60" s="3" t="s">
        <v>1</v>
      </c>
      <c r="D60" s="112">
        <f>(0.75*0.75)*4</f>
        <v>2.25</v>
      </c>
      <c r="E60" s="371">
        <v>5261.7777777777774</v>
      </c>
      <c r="F60" s="367">
        <f t="shared" si="2"/>
        <v>11839</v>
      </c>
      <c r="G60" s="403"/>
      <c r="H60" s="403">
        <f t="shared" si="1"/>
        <v>0</v>
      </c>
      <c r="I60" s="403">
        <v>8522.7000000000007</v>
      </c>
      <c r="J60" s="403">
        <f t="shared" si="0"/>
        <v>19176.075000000001</v>
      </c>
    </row>
    <row r="61" spans="1:10" ht="18" customHeight="1">
      <c r="A61" s="183"/>
      <c r="B61" s="18"/>
      <c r="C61" s="19" t="s">
        <v>10</v>
      </c>
      <c r="D61" s="130">
        <f>D60*0.05</f>
        <v>0.1125</v>
      </c>
      <c r="E61" s="373"/>
      <c r="F61" s="368">
        <f t="shared" si="2"/>
        <v>0</v>
      </c>
      <c r="G61" s="400"/>
      <c r="H61" s="400">
        <f t="shared" si="1"/>
        <v>0</v>
      </c>
      <c r="I61" s="400">
        <v>170455</v>
      </c>
      <c r="J61" s="400">
        <f t="shared" si="0"/>
        <v>19176.1875</v>
      </c>
    </row>
    <row r="62" spans="1:10" ht="18" customHeight="1">
      <c r="A62" s="184"/>
      <c r="B62" s="93" t="s">
        <v>2</v>
      </c>
      <c r="C62" s="22"/>
      <c r="D62" s="113"/>
      <c r="E62" s="374"/>
      <c r="F62" s="368">
        <f t="shared" si="2"/>
        <v>0</v>
      </c>
      <c r="G62" s="400"/>
      <c r="H62" s="400">
        <f t="shared" si="1"/>
        <v>0</v>
      </c>
      <c r="I62" s="400"/>
      <c r="J62" s="400">
        <f t="shared" si="0"/>
        <v>0</v>
      </c>
    </row>
    <row r="63" spans="1:10" ht="18" customHeight="1">
      <c r="A63" s="184"/>
      <c r="B63" s="94" t="s">
        <v>11</v>
      </c>
      <c r="C63" s="22" t="s">
        <v>12</v>
      </c>
      <c r="D63" s="113">
        <f>D61*(1/13)*1.57*(1440/50)</f>
        <v>0.39129230769230772</v>
      </c>
      <c r="E63" s="374">
        <v>11200</v>
      </c>
      <c r="F63" s="368">
        <f t="shared" si="2"/>
        <v>4382.4738461538464</v>
      </c>
      <c r="G63" s="400">
        <v>14000</v>
      </c>
      <c r="H63" s="400">
        <f t="shared" si="1"/>
        <v>5478.0923076923082</v>
      </c>
      <c r="I63" s="400">
        <v>13500</v>
      </c>
      <c r="J63" s="400">
        <f t="shared" si="0"/>
        <v>5282.4461538461546</v>
      </c>
    </row>
    <row r="64" spans="1:10" ht="18" customHeight="1">
      <c r="A64" s="184"/>
      <c r="B64" s="94" t="s">
        <v>13</v>
      </c>
      <c r="C64" s="22" t="s">
        <v>10</v>
      </c>
      <c r="D64" s="113">
        <f>D61*(4/13)*1.57</f>
        <v>5.434615384615385E-2</v>
      </c>
      <c r="E64" s="374">
        <v>30500</v>
      </c>
      <c r="F64" s="368">
        <f t="shared" si="2"/>
        <v>1657.5576923076924</v>
      </c>
      <c r="G64" s="400">
        <v>25000</v>
      </c>
      <c r="H64" s="400">
        <f t="shared" si="1"/>
        <v>1358.6538461538462</v>
      </c>
      <c r="I64" s="400">
        <v>40000</v>
      </c>
      <c r="J64" s="400">
        <f t="shared" si="0"/>
        <v>2173.8461538461538</v>
      </c>
    </row>
    <row r="65" spans="1:10" ht="18" customHeight="1">
      <c r="A65" s="184"/>
      <c r="B65" s="94" t="s">
        <v>14</v>
      </c>
      <c r="C65" s="22" t="s">
        <v>10</v>
      </c>
      <c r="D65" s="113">
        <f>D61*(8/13)*1.57</f>
        <v>0.1086923076923077</v>
      </c>
      <c r="E65" s="374">
        <v>22300</v>
      </c>
      <c r="F65" s="368">
        <f t="shared" si="2"/>
        <v>2423.8384615384616</v>
      </c>
      <c r="G65" s="400">
        <v>27000</v>
      </c>
      <c r="H65" s="400">
        <f t="shared" si="1"/>
        <v>2934.6923076923081</v>
      </c>
      <c r="I65" s="400">
        <v>48312</v>
      </c>
      <c r="J65" s="400">
        <f t="shared" si="0"/>
        <v>5251.1427692307698</v>
      </c>
    </row>
    <row r="66" spans="1:10" ht="18" customHeight="1">
      <c r="A66" s="184"/>
      <c r="B66" s="94" t="s">
        <v>15</v>
      </c>
      <c r="C66" s="22" t="s">
        <v>16</v>
      </c>
      <c r="D66" s="113">
        <f>D70*10</f>
        <v>0.1875</v>
      </c>
      <c r="E66" s="374">
        <v>1900</v>
      </c>
      <c r="F66" s="368">
        <f t="shared" si="2"/>
        <v>356.25</v>
      </c>
      <c r="G66" s="400">
        <v>2000</v>
      </c>
      <c r="H66" s="400">
        <f t="shared" si="1"/>
        <v>375</v>
      </c>
      <c r="I66" s="400">
        <v>2000</v>
      </c>
      <c r="J66" s="400">
        <f t="shared" si="0"/>
        <v>375</v>
      </c>
    </row>
    <row r="67" spans="1:10" ht="18" customHeight="1">
      <c r="A67" s="153"/>
      <c r="B67" s="93" t="s">
        <v>18</v>
      </c>
      <c r="C67" s="27"/>
      <c r="D67" s="116"/>
      <c r="E67" s="381"/>
      <c r="F67" s="368">
        <f t="shared" si="2"/>
        <v>0</v>
      </c>
      <c r="G67" s="400"/>
      <c r="H67" s="400">
        <f t="shared" si="1"/>
        <v>0</v>
      </c>
      <c r="I67" s="400"/>
      <c r="J67" s="400">
        <f t="shared" si="0"/>
        <v>0</v>
      </c>
    </row>
    <row r="68" spans="1:10" ht="18" customHeight="1">
      <c r="A68" s="184"/>
      <c r="B68" s="94"/>
      <c r="C68" s="22"/>
      <c r="D68" s="113"/>
      <c r="E68" s="374"/>
      <c r="F68" s="368">
        <f t="shared" si="2"/>
        <v>0</v>
      </c>
      <c r="G68" s="400"/>
      <c r="H68" s="400">
        <f t="shared" si="1"/>
        <v>0</v>
      </c>
      <c r="I68" s="400"/>
      <c r="J68" s="400">
        <f t="shared" si="0"/>
        <v>0</v>
      </c>
    </row>
    <row r="69" spans="1:10" ht="18" customHeight="1">
      <c r="A69" s="184"/>
      <c r="B69" s="93" t="s">
        <v>19</v>
      </c>
      <c r="C69" s="22"/>
      <c r="D69" s="113"/>
      <c r="E69" s="374"/>
      <c r="F69" s="368">
        <f t="shared" si="2"/>
        <v>0</v>
      </c>
      <c r="G69" s="400"/>
      <c r="H69" s="400">
        <f t="shared" si="1"/>
        <v>0</v>
      </c>
      <c r="I69" s="400"/>
      <c r="J69" s="400">
        <f t="shared" ref="J69:J132" si="3">D69*I69</f>
        <v>0</v>
      </c>
    </row>
    <row r="70" spans="1:10" ht="18" customHeight="1">
      <c r="A70" s="184"/>
      <c r="B70" s="94" t="s">
        <v>20</v>
      </c>
      <c r="C70" s="22" t="s">
        <v>21</v>
      </c>
      <c r="D70" s="113">
        <f>D61/6</f>
        <v>1.8749999999999999E-2</v>
      </c>
      <c r="E70" s="374">
        <v>7000</v>
      </c>
      <c r="F70" s="368">
        <f t="shared" si="2"/>
        <v>131.25</v>
      </c>
      <c r="G70" s="400">
        <v>50000</v>
      </c>
      <c r="H70" s="400">
        <f t="shared" si="1"/>
        <v>937.5</v>
      </c>
      <c r="I70" s="400">
        <v>80000</v>
      </c>
      <c r="J70" s="400">
        <f t="shared" si="3"/>
        <v>1500</v>
      </c>
    </row>
    <row r="71" spans="1:10" ht="18" customHeight="1">
      <c r="A71" s="153"/>
      <c r="B71" s="93" t="s">
        <v>23</v>
      </c>
      <c r="C71" s="27"/>
      <c r="D71" s="116"/>
      <c r="E71" s="381"/>
      <c r="F71" s="368">
        <f t="shared" si="2"/>
        <v>0</v>
      </c>
      <c r="G71" s="400"/>
      <c r="H71" s="400">
        <f t="shared" ref="H71:H134" si="4">D71*G71</f>
        <v>0</v>
      </c>
      <c r="I71" s="400"/>
      <c r="J71" s="400">
        <f t="shared" si="3"/>
        <v>0</v>
      </c>
    </row>
    <row r="72" spans="1:10" ht="18" customHeight="1">
      <c r="A72" s="184"/>
      <c r="B72" s="94"/>
      <c r="C72" s="22"/>
      <c r="D72" s="113"/>
      <c r="E72" s="374"/>
      <c r="F72" s="368">
        <f t="shared" ref="F72:F135" si="5">D72*E72</f>
        <v>0</v>
      </c>
      <c r="G72" s="400"/>
      <c r="H72" s="400">
        <f t="shared" si="4"/>
        <v>0</v>
      </c>
      <c r="I72" s="400"/>
      <c r="J72" s="400">
        <f t="shared" si="3"/>
        <v>0</v>
      </c>
    </row>
    <row r="73" spans="1:10" ht="18" customHeight="1">
      <c r="A73" s="184"/>
      <c r="B73" s="93" t="s">
        <v>6</v>
      </c>
      <c r="C73" s="22"/>
      <c r="D73" s="113"/>
      <c r="E73" s="374"/>
      <c r="F73" s="368">
        <f t="shared" si="5"/>
        <v>0</v>
      </c>
      <c r="G73" s="400"/>
      <c r="H73" s="400">
        <f t="shared" si="4"/>
        <v>0</v>
      </c>
      <c r="I73" s="400"/>
      <c r="J73" s="400">
        <f t="shared" si="3"/>
        <v>0</v>
      </c>
    </row>
    <row r="74" spans="1:10" ht="18" customHeight="1">
      <c r="A74" s="184"/>
      <c r="B74" s="94" t="s">
        <v>24</v>
      </c>
      <c r="C74" s="22" t="s">
        <v>21</v>
      </c>
      <c r="D74" s="113">
        <f>(D61/6)*2</f>
        <v>3.7499999999999999E-2</v>
      </c>
      <c r="E74" s="374">
        <v>8000</v>
      </c>
      <c r="F74" s="368">
        <f t="shared" si="5"/>
        <v>300</v>
      </c>
      <c r="G74" s="400">
        <v>10000</v>
      </c>
      <c r="H74" s="400">
        <f t="shared" si="4"/>
        <v>375</v>
      </c>
      <c r="I74" s="400">
        <v>40909</v>
      </c>
      <c r="J74" s="400">
        <f t="shared" si="3"/>
        <v>1534.0874999999999</v>
      </c>
    </row>
    <row r="75" spans="1:10" ht="18" customHeight="1">
      <c r="A75" s="184"/>
      <c r="B75" s="94" t="s">
        <v>25</v>
      </c>
      <c r="C75" s="22" t="s">
        <v>21</v>
      </c>
      <c r="D75" s="113">
        <f>(D61/6)*18</f>
        <v>0.33749999999999997</v>
      </c>
      <c r="E75" s="374">
        <v>6000</v>
      </c>
      <c r="F75" s="368">
        <f t="shared" si="5"/>
        <v>2024.9999999999998</v>
      </c>
      <c r="G75" s="400">
        <v>5000</v>
      </c>
      <c r="H75" s="400">
        <f t="shared" si="4"/>
        <v>1687.4999999999998</v>
      </c>
      <c r="I75" s="400">
        <v>7955</v>
      </c>
      <c r="J75" s="400">
        <f t="shared" si="3"/>
        <v>2684.8124999999995</v>
      </c>
    </row>
    <row r="76" spans="1:10" ht="18" customHeight="1">
      <c r="A76" s="184"/>
      <c r="B76" s="94" t="s">
        <v>26</v>
      </c>
      <c r="C76" s="22" t="s">
        <v>21</v>
      </c>
      <c r="D76" s="113">
        <f>D70</f>
        <v>1.8749999999999999E-2</v>
      </c>
      <c r="E76" s="374">
        <v>12000</v>
      </c>
      <c r="F76" s="368">
        <f t="shared" si="5"/>
        <v>225</v>
      </c>
      <c r="G76" s="400">
        <v>20000</v>
      </c>
      <c r="H76" s="400">
        <f t="shared" si="4"/>
        <v>375</v>
      </c>
      <c r="I76" s="400">
        <v>20000</v>
      </c>
      <c r="J76" s="400">
        <f t="shared" si="3"/>
        <v>375</v>
      </c>
    </row>
    <row r="77" spans="1:10" ht="18" customHeight="1">
      <c r="A77" s="153"/>
      <c r="B77" s="93" t="s">
        <v>27</v>
      </c>
      <c r="C77" s="27"/>
      <c r="D77" s="116"/>
      <c r="E77" s="381"/>
      <c r="F77" s="368">
        <f t="shared" si="5"/>
        <v>0</v>
      </c>
      <c r="G77" s="400"/>
      <c r="H77" s="400">
        <f t="shared" si="4"/>
        <v>0</v>
      </c>
      <c r="I77" s="400"/>
      <c r="J77" s="400">
        <f t="shared" si="3"/>
        <v>0</v>
      </c>
    </row>
    <row r="78" spans="1:10" ht="18" customHeight="1">
      <c r="A78" s="153"/>
      <c r="B78" s="93"/>
      <c r="C78" s="27"/>
      <c r="D78" s="116"/>
      <c r="E78" s="381"/>
      <c r="F78" s="368">
        <f t="shared" si="5"/>
        <v>0</v>
      </c>
      <c r="G78" s="400"/>
      <c r="H78" s="400">
        <f t="shared" si="4"/>
        <v>0</v>
      </c>
      <c r="I78" s="400"/>
      <c r="J78" s="400">
        <f t="shared" si="3"/>
        <v>0</v>
      </c>
    </row>
    <row r="79" spans="1:10" ht="18" customHeight="1">
      <c r="A79" s="153">
        <v>4</v>
      </c>
      <c r="B79" s="475" t="s">
        <v>82</v>
      </c>
      <c r="C79" s="475"/>
      <c r="D79" s="475"/>
      <c r="E79" s="376"/>
      <c r="F79" s="368">
        <f t="shared" si="5"/>
        <v>0</v>
      </c>
      <c r="G79" s="400"/>
      <c r="H79" s="400">
        <f t="shared" si="4"/>
        <v>0</v>
      </c>
      <c r="I79" s="400"/>
      <c r="J79" s="400">
        <f t="shared" si="3"/>
        <v>0</v>
      </c>
    </row>
    <row r="80" spans="1:10" ht="18" customHeight="1">
      <c r="A80" s="179">
        <v>4.01</v>
      </c>
      <c r="B80" s="95" t="s">
        <v>83</v>
      </c>
      <c r="C80" s="65" t="s">
        <v>50</v>
      </c>
      <c r="D80" s="120">
        <f>((0.75*0.2)*4)*4</f>
        <v>2.4000000000000004</v>
      </c>
      <c r="E80" s="375">
        <v>16486.666666666664</v>
      </c>
      <c r="F80" s="367">
        <f t="shared" si="5"/>
        <v>39568</v>
      </c>
      <c r="G80" s="403"/>
      <c r="H80" s="403">
        <f t="shared" si="4"/>
        <v>0</v>
      </c>
      <c r="I80" s="403">
        <v>9023.6</v>
      </c>
      <c r="J80" s="403">
        <f t="shared" si="3"/>
        <v>21656.640000000003</v>
      </c>
    </row>
    <row r="81" spans="1:10" ht="18" customHeight="1">
      <c r="A81" s="184"/>
      <c r="B81" s="93" t="s">
        <v>2</v>
      </c>
      <c r="C81" s="22"/>
      <c r="D81" s="109"/>
      <c r="E81" s="374"/>
      <c r="F81" s="368">
        <f t="shared" si="5"/>
        <v>0</v>
      </c>
      <c r="G81" s="400"/>
      <c r="H81" s="400">
        <f t="shared" si="4"/>
        <v>0</v>
      </c>
      <c r="I81" s="400"/>
      <c r="J81" s="400">
        <f t="shared" si="3"/>
        <v>0</v>
      </c>
    </row>
    <row r="82" spans="1:10" ht="18" customHeight="1">
      <c r="A82" s="184"/>
      <c r="B82" s="94" t="s">
        <v>84</v>
      </c>
      <c r="C82" s="22" t="s">
        <v>85</v>
      </c>
      <c r="D82" s="113">
        <f>D80/(2.4*1.2)/2</f>
        <v>0.41666666666666674</v>
      </c>
      <c r="E82" s="374">
        <v>3500</v>
      </c>
      <c r="F82" s="368">
        <f t="shared" si="5"/>
        <v>1458.3333333333335</v>
      </c>
      <c r="G82" s="400">
        <v>30000</v>
      </c>
      <c r="H82" s="400">
        <f t="shared" si="4"/>
        <v>12500.000000000002</v>
      </c>
      <c r="I82" s="400">
        <v>25000</v>
      </c>
      <c r="J82" s="400">
        <f t="shared" si="3"/>
        <v>10416.666666666668</v>
      </c>
    </row>
    <row r="83" spans="1:10" ht="18" customHeight="1">
      <c r="A83" s="184"/>
      <c r="B83" s="94" t="s">
        <v>86</v>
      </c>
      <c r="C83" s="22" t="s">
        <v>44</v>
      </c>
      <c r="D83" s="113">
        <f>D80*1.5</f>
        <v>3.6000000000000005</v>
      </c>
      <c r="E83" s="374">
        <v>5000</v>
      </c>
      <c r="F83" s="368">
        <f t="shared" si="5"/>
        <v>18000.000000000004</v>
      </c>
      <c r="G83" s="400">
        <v>4000</v>
      </c>
      <c r="H83" s="400">
        <f t="shared" si="4"/>
        <v>14400.000000000002</v>
      </c>
      <c r="I83" s="400">
        <v>1500</v>
      </c>
      <c r="J83" s="400">
        <f t="shared" si="3"/>
        <v>5400.0000000000009</v>
      </c>
    </row>
    <row r="84" spans="1:10" ht="18" customHeight="1">
      <c r="A84" s="180"/>
      <c r="B84" s="94" t="s">
        <v>87</v>
      </c>
      <c r="C84" s="22" t="s">
        <v>88</v>
      </c>
      <c r="D84" s="113">
        <f>D80*0.25</f>
        <v>0.60000000000000009</v>
      </c>
      <c r="E84" s="374">
        <v>2200</v>
      </c>
      <c r="F84" s="368">
        <f t="shared" si="5"/>
        <v>1320.0000000000002</v>
      </c>
      <c r="G84" s="400">
        <v>2200</v>
      </c>
      <c r="H84" s="400">
        <f t="shared" si="4"/>
        <v>1320.0000000000002</v>
      </c>
      <c r="I84" s="400">
        <v>2000</v>
      </c>
      <c r="J84" s="400">
        <f t="shared" si="3"/>
        <v>1200.0000000000002</v>
      </c>
    </row>
    <row r="85" spans="1:10" ht="18" customHeight="1">
      <c r="A85" s="180"/>
      <c r="B85" s="93" t="s">
        <v>89</v>
      </c>
      <c r="C85" s="27"/>
      <c r="D85" s="116"/>
      <c r="E85" s="381"/>
      <c r="F85" s="368">
        <f t="shared" si="5"/>
        <v>0</v>
      </c>
      <c r="G85" s="400"/>
      <c r="H85" s="400">
        <f t="shared" si="4"/>
        <v>0</v>
      </c>
      <c r="I85" s="400"/>
      <c r="J85" s="400">
        <f t="shared" si="3"/>
        <v>0</v>
      </c>
    </row>
    <row r="86" spans="1:10" ht="18" customHeight="1">
      <c r="A86" s="180"/>
      <c r="B86" s="94"/>
      <c r="C86" s="22"/>
      <c r="D86" s="113"/>
      <c r="E86" s="374"/>
      <c r="F86" s="368">
        <f t="shared" si="5"/>
        <v>0</v>
      </c>
      <c r="G86" s="400"/>
      <c r="H86" s="400">
        <f t="shared" si="4"/>
        <v>0</v>
      </c>
      <c r="I86" s="400"/>
      <c r="J86" s="400">
        <f t="shared" si="3"/>
        <v>0</v>
      </c>
    </row>
    <row r="87" spans="1:10" ht="18" customHeight="1">
      <c r="A87" s="181"/>
      <c r="B87" s="93" t="s">
        <v>6</v>
      </c>
      <c r="C87" s="22"/>
      <c r="D87" s="113"/>
      <c r="E87" s="374"/>
      <c r="F87" s="368">
        <f t="shared" si="5"/>
        <v>0</v>
      </c>
      <c r="G87" s="400"/>
      <c r="H87" s="400">
        <f t="shared" si="4"/>
        <v>0</v>
      </c>
      <c r="I87" s="400"/>
      <c r="J87" s="400">
        <f t="shared" si="3"/>
        <v>0</v>
      </c>
    </row>
    <row r="88" spans="1:10" ht="18" customHeight="1">
      <c r="A88" s="181"/>
      <c r="B88" s="94" t="s">
        <v>90</v>
      </c>
      <c r="C88" s="22" t="s">
        <v>21</v>
      </c>
      <c r="D88" s="113">
        <f>D80/15</f>
        <v>0.16000000000000003</v>
      </c>
      <c r="E88" s="374">
        <v>15000</v>
      </c>
      <c r="F88" s="368">
        <f t="shared" si="5"/>
        <v>2400.0000000000005</v>
      </c>
      <c r="G88" s="400">
        <v>12000</v>
      </c>
      <c r="H88" s="400">
        <f t="shared" si="4"/>
        <v>1920.0000000000005</v>
      </c>
      <c r="I88" s="400">
        <v>15000</v>
      </c>
      <c r="J88" s="400">
        <f t="shared" si="3"/>
        <v>2400.0000000000005</v>
      </c>
    </row>
    <row r="89" spans="1:10" ht="18" customHeight="1">
      <c r="A89" s="181"/>
      <c r="B89" s="94" t="s">
        <v>25</v>
      </c>
      <c r="C89" s="22" t="s">
        <v>21</v>
      </c>
      <c r="D89" s="113">
        <f>D88*2</f>
        <v>0.32000000000000006</v>
      </c>
      <c r="E89" s="374">
        <v>10000</v>
      </c>
      <c r="F89" s="368">
        <f t="shared" si="5"/>
        <v>3200.0000000000005</v>
      </c>
      <c r="G89" s="400">
        <v>5000</v>
      </c>
      <c r="H89" s="400">
        <f t="shared" si="4"/>
        <v>1600.0000000000002</v>
      </c>
      <c r="I89" s="400">
        <v>7000</v>
      </c>
      <c r="J89" s="400">
        <f t="shared" si="3"/>
        <v>2240.0000000000005</v>
      </c>
    </row>
    <row r="90" spans="1:10" ht="18" customHeight="1">
      <c r="A90" s="184"/>
      <c r="B90" s="93" t="s">
        <v>91</v>
      </c>
      <c r="C90" s="27"/>
      <c r="D90" s="117"/>
      <c r="E90" s="381"/>
      <c r="F90" s="368">
        <f t="shared" si="5"/>
        <v>0</v>
      </c>
      <c r="G90" s="400"/>
      <c r="H90" s="400">
        <f t="shared" si="4"/>
        <v>0</v>
      </c>
      <c r="I90" s="400"/>
      <c r="J90" s="400">
        <f t="shared" si="3"/>
        <v>0</v>
      </c>
    </row>
    <row r="91" spans="1:10" ht="18" customHeight="1">
      <c r="A91" s="179">
        <v>4.0199999999999996</v>
      </c>
      <c r="B91" s="95" t="s">
        <v>118</v>
      </c>
      <c r="C91" s="65" t="s">
        <v>50</v>
      </c>
      <c r="D91" s="120">
        <f>((1.05*0.3)*4)*4</f>
        <v>5.04</v>
      </c>
      <c r="E91" s="375">
        <v>19543.452380952382</v>
      </c>
      <c r="F91" s="367">
        <f t="shared" si="5"/>
        <v>98499</v>
      </c>
      <c r="G91" s="403"/>
      <c r="H91" s="403">
        <f t="shared" si="4"/>
        <v>0</v>
      </c>
      <c r="I91" s="403">
        <v>9023.65</v>
      </c>
      <c r="J91" s="403">
        <f t="shared" si="3"/>
        <v>45479.195999999996</v>
      </c>
    </row>
    <row r="92" spans="1:10" ht="18" customHeight="1">
      <c r="A92" s="184"/>
      <c r="B92" s="93" t="s">
        <v>2</v>
      </c>
      <c r="C92" s="22"/>
      <c r="D92" s="109"/>
      <c r="E92" s="374"/>
      <c r="F92" s="368">
        <f t="shared" si="5"/>
        <v>0</v>
      </c>
      <c r="G92" s="400"/>
      <c r="H92" s="400">
        <f t="shared" si="4"/>
        <v>0</v>
      </c>
      <c r="I92" s="400"/>
      <c r="J92" s="400">
        <f t="shared" si="3"/>
        <v>0</v>
      </c>
    </row>
    <row r="93" spans="1:10" ht="18" customHeight="1">
      <c r="A93" s="184"/>
      <c r="B93" s="94" t="s">
        <v>84</v>
      </c>
      <c r="C93" s="22" t="s">
        <v>85</v>
      </c>
      <c r="D93" s="113">
        <f>D91/(2.4*1.2)/2</f>
        <v>0.875</v>
      </c>
      <c r="E93" s="374">
        <v>2500</v>
      </c>
      <c r="F93" s="368">
        <f t="shared" si="5"/>
        <v>2187.5</v>
      </c>
      <c r="G93" s="400">
        <v>30000</v>
      </c>
      <c r="H93" s="400">
        <f t="shared" si="4"/>
        <v>26250</v>
      </c>
      <c r="I93" s="400">
        <v>25000</v>
      </c>
      <c r="J93" s="400">
        <f t="shared" si="3"/>
        <v>21875</v>
      </c>
    </row>
    <row r="94" spans="1:10" ht="18" customHeight="1">
      <c r="A94" s="184"/>
      <c r="B94" s="94" t="s">
        <v>86</v>
      </c>
      <c r="C94" s="22" t="s">
        <v>44</v>
      </c>
      <c r="D94" s="113">
        <f>D91*1.5</f>
        <v>7.5600000000000005</v>
      </c>
      <c r="E94" s="374">
        <v>3000</v>
      </c>
      <c r="F94" s="368">
        <f t="shared" si="5"/>
        <v>22680</v>
      </c>
      <c r="G94" s="400">
        <v>4000</v>
      </c>
      <c r="H94" s="400">
        <f t="shared" si="4"/>
        <v>30240.000000000004</v>
      </c>
      <c r="I94" s="400">
        <v>1500</v>
      </c>
      <c r="J94" s="400">
        <f t="shared" si="3"/>
        <v>11340</v>
      </c>
    </row>
    <row r="95" spans="1:10" ht="18" customHeight="1">
      <c r="A95" s="180"/>
      <c r="B95" s="94" t="s">
        <v>87</v>
      </c>
      <c r="C95" s="22" t="s">
        <v>88</v>
      </c>
      <c r="D95" s="113">
        <f>D91*0.25</f>
        <v>1.26</v>
      </c>
      <c r="E95" s="374">
        <v>2200</v>
      </c>
      <c r="F95" s="368">
        <f t="shared" si="5"/>
        <v>2772</v>
      </c>
      <c r="G95" s="400">
        <v>2200</v>
      </c>
      <c r="H95" s="400">
        <f t="shared" si="4"/>
        <v>2772</v>
      </c>
      <c r="I95" s="400">
        <v>2000</v>
      </c>
      <c r="J95" s="400">
        <f t="shared" si="3"/>
        <v>2520</v>
      </c>
    </row>
    <row r="96" spans="1:10" ht="18" customHeight="1">
      <c r="A96" s="180"/>
      <c r="B96" s="93" t="s">
        <v>89</v>
      </c>
      <c r="C96" s="27"/>
      <c r="D96" s="116"/>
      <c r="E96" s="381"/>
      <c r="F96" s="368">
        <f t="shared" si="5"/>
        <v>0</v>
      </c>
      <c r="G96" s="400"/>
      <c r="H96" s="400">
        <f t="shared" si="4"/>
        <v>0</v>
      </c>
      <c r="I96" s="400"/>
      <c r="J96" s="400">
        <f t="shared" si="3"/>
        <v>0</v>
      </c>
    </row>
    <row r="97" spans="1:10" ht="18" customHeight="1">
      <c r="A97" s="180"/>
      <c r="B97" s="94"/>
      <c r="C97" s="22"/>
      <c r="D97" s="113"/>
      <c r="E97" s="374"/>
      <c r="F97" s="368">
        <f t="shared" si="5"/>
        <v>0</v>
      </c>
      <c r="G97" s="400"/>
      <c r="H97" s="400">
        <f t="shared" si="4"/>
        <v>0</v>
      </c>
      <c r="I97" s="400"/>
      <c r="J97" s="400">
        <f t="shared" si="3"/>
        <v>0</v>
      </c>
    </row>
    <row r="98" spans="1:10" ht="18" customHeight="1">
      <c r="A98" s="181"/>
      <c r="B98" s="93" t="s">
        <v>6</v>
      </c>
      <c r="C98" s="22"/>
      <c r="D98" s="113"/>
      <c r="E98" s="374"/>
      <c r="F98" s="368">
        <f t="shared" si="5"/>
        <v>0</v>
      </c>
      <c r="G98" s="400"/>
      <c r="H98" s="400">
        <f t="shared" si="4"/>
        <v>0</v>
      </c>
      <c r="I98" s="400"/>
      <c r="J98" s="400">
        <f t="shared" si="3"/>
        <v>0</v>
      </c>
    </row>
    <row r="99" spans="1:10" ht="18" customHeight="1">
      <c r="A99" s="181"/>
      <c r="B99" s="94" t="s">
        <v>90</v>
      </c>
      <c r="C99" s="22" t="s">
        <v>21</v>
      </c>
      <c r="D99" s="113">
        <f>D91/15</f>
        <v>0.33600000000000002</v>
      </c>
      <c r="E99" s="374">
        <v>15000</v>
      </c>
      <c r="F99" s="368">
        <f t="shared" si="5"/>
        <v>5040</v>
      </c>
      <c r="G99" s="400">
        <v>10000</v>
      </c>
      <c r="H99" s="400">
        <f t="shared" si="4"/>
        <v>3360</v>
      </c>
      <c r="I99" s="400">
        <v>15000</v>
      </c>
      <c r="J99" s="400">
        <f t="shared" si="3"/>
        <v>5040</v>
      </c>
    </row>
    <row r="100" spans="1:10" ht="18" customHeight="1">
      <c r="A100" s="181"/>
      <c r="B100" s="94" t="s">
        <v>25</v>
      </c>
      <c r="C100" s="22" t="s">
        <v>21</v>
      </c>
      <c r="D100" s="113">
        <f>D99*2</f>
        <v>0.67200000000000004</v>
      </c>
      <c r="E100" s="374">
        <v>10000</v>
      </c>
      <c r="F100" s="368">
        <f t="shared" si="5"/>
        <v>6720</v>
      </c>
      <c r="G100" s="400">
        <v>5000</v>
      </c>
      <c r="H100" s="400">
        <f t="shared" si="4"/>
        <v>3360</v>
      </c>
      <c r="I100" s="400">
        <v>7000</v>
      </c>
      <c r="J100" s="400">
        <f t="shared" si="3"/>
        <v>4704</v>
      </c>
    </row>
    <row r="101" spans="1:10" ht="18" customHeight="1">
      <c r="A101" s="184"/>
      <c r="B101" s="93" t="s">
        <v>91</v>
      </c>
      <c r="C101" s="27"/>
      <c r="D101" s="117"/>
      <c r="E101" s="381"/>
      <c r="F101" s="368">
        <f t="shared" si="5"/>
        <v>0</v>
      </c>
      <c r="G101" s="400"/>
      <c r="H101" s="400">
        <f t="shared" si="4"/>
        <v>0</v>
      </c>
      <c r="I101" s="400"/>
      <c r="J101" s="400">
        <f t="shared" si="3"/>
        <v>0</v>
      </c>
    </row>
    <row r="102" spans="1:10" ht="18" customHeight="1">
      <c r="A102" s="179">
        <v>4.03</v>
      </c>
      <c r="B102" s="95" t="s">
        <v>95</v>
      </c>
      <c r="C102" s="65" t="s">
        <v>36</v>
      </c>
      <c r="D102" s="120">
        <f>((3.1*0.3)*4)*4</f>
        <v>14.879999999999999</v>
      </c>
      <c r="E102" s="375">
        <v>27911.491935483871</v>
      </c>
      <c r="F102" s="367">
        <f t="shared" si="5"/>
        <v>415323</v>
      </c>
      <c r="G102" s="403"/>
      <c r="H102" s="403">
        <f t="shared" si="4"/>
        <v>0</v>
      </c>
      <c r="I102" s="403">
        <v>9023.6</v>
      </c>
      <c r="J102" s="403">
        <f t="shared" si="3"/>
        <v>134271.16800000001</v>
      </c>
    </row>
    <row r="103" spans="1:10" ht="18" customHeight="1">
      <c r="A103" s="184"/>
      <c r="B103" s="93" t="s">
        <v>2</v>
      </c>
      <c r="C103" s="22"/>
      <c r="D103" s="109"/>
      <c r="E103" s="374"/>
      <c r="F103" s="368">
        <f t="shared" si="5"/>
        <v>0</v>
      </c>
      <c r="G103" s="400"/>
      <c r="H103" s="400">
        <f t="shared" si="4"/>
        <v>0</v>
      </c>
      <c r="I103" s="400"/>
      <c r="J103" s="400">
        <f t="shared" si="3"/>
        <v>0</v>
      </c>
    </row>
    <row r="104" spans="1:10" ht="18" customHeight="1">
      <c r="A104" s="184"/>
      <c r="B104" s="94" t="s">
        <v>84</v>
      </c>
      <c r="C104" s="22" t="s">
        <v>85</v>
      </c>
      <c r="D104" s="113">
        <f>D102/(2.4*1.2)/2</f>
        <v>2.583333333333333</v>
      </c>
      <c r="E104" s="374">
        <v>4500</v>
      </c>
      <c r="F104" s="368">
        <f t="shared" si="5"/>
        <v>11624.999999999998</v>
      </c>
      <c r="G104" s="400">
        <v>30000</v>
      </c>
      <c r="H104" s="400">
        <f t="shared" si="4"/>
        <v>77499.999999999985</v>
      </c>
      <c r="I104" s="400">
        <v>25000</v>
      </c>
      <c r="J104" s="400">
        <f t="shared" si="3"/>
        <v>64583.333333333328</v>
      </c>
    </row>
    <row r="105" spans="1:10" s="61" customFormat="1" ht="18" customHeight="1">
      <c r="A105" s="184"/>
      <c r="B105" s="94" t="s">
        <v>86</v>
      </c>
      <c r="C105" s="22" t="s">
        <v>44</v>
      </c>
      <c r="D105" s="113">
        <f>D102*1.5</f>
        <v>22.32</v>
      </c>
      <c r="E105" s="374">
        <v>5000</v>
      </c>
      <c r="F105" s="368">
        <f t="shared" si="5"/>
        <v>111600</v>
      </c>
      <c r="G105" s="404">
        <v>4000</v>
      </c>
      <c r="H105" s="400">
        <f t="shared" si="4"/>
        <v>89280</v>
      </c>
      <c r="I105" s="404">
        <v>1500</v>
      </c>
      <c r="J105" s="400">
        <f t="shared" si="3"/>
        <v>33480</v>
      </c>
    </row>
    <row r="106" spans="1:10" ht="18" customHeight="1">
      <c r="A106" s="180"/>
      <c r="B106" s="94" t="s">
        <v>87</v>
      </c>
      <c r="C106" s="22" t="s">
        <v>88</v>
      </c>
      <c r="D106" s="113">
        <f>D102*0.25</f>
        <v>3.7199999999999998</v>
      </c>
      <c r="E106" s="374">
        <v>2200</v>
      </c>
      <c r="F106" s="368">
        <f t="shared" si="5"/>
        <v>8183.9999999999991</v>
      </c>
      <c r="G106" s="400">
        <v>2200</v>
      </c>
      <c r="H106" s="400">
        <f t="shared" si="4"/>
        <v>8183.9999999999991</v>
      </c>
      <c r="I106" s="400">
        <v>2000</v>
      </c>
      <c r="J106" s="400">
        <f t="shared" si="3"/>
        <v>7439.9999999999991</v>
      </c>
    </row>
    <row r="107" spans="1:10" ht="18" customHeight="1">
      <c r="A107" s="180"/>
      <c r="B107" s="93" t="s">
        <v>89</v>
      </c>
      <c r="C107" s="27"/>
      <c r="D107" s="116"/>
      <c r="E107" s="381"/>
      <c r="F107" s="368">
        <f t="shared" si="5"/>
        <v>0</v>
      </c>
      <c r="G107" s="400"/>
      <c r="H107" s="400">
        <f t="shared" si="4"/>
        <v>0</v>
      </c>
      <c r="I107" s="400"/>
      <c r="J107" s="400">
        <f t="shared" si="3"/>
        <v>0</v>
      </c>
    </row>
    <row r="108" spans="1:10" ht="18" customHeight="1">
      <c r="A108" s="180"/>
      <c r="B108" s="94"/>
      <c r="C108" s="22"/>
      <c r="D108" s="113"/>
      <c r="E108" s="374"/>
      <c r="F108" s="368">
        <f t="shared" si="5"/>
        <v>0</v>
      </c>
      <c r="G108" s="400"/>
      <c r="H108" s="400">
        <f t="shared" si="4"/>
        <v>0</v>
      </c>
      <c r="I108" s="400"/>
      <c r="J108" s="400">
        <f t="shared" si="3"/>
        <v>0</v>
      </c>
    </row>
    <row r="109" spans="1:10" s="56" customFormat="1" ht="18" customHeight="1">
      <c r="A109" s="181"/>
      <c r="B109" s="93" t="s">
        <v>6</v>
      </c>
      <c r="C109" s="22"/>
      <c r="D109" s="113"/>
      <c r="E109" s="374"/>
      <c r="F109" s="368">
        <f t="shared" si="5"/>
        <v>0</v>
      </c>
      <c r="G109" s="406"/>
      <c r="H109" s="400">
        <f t="shared" si="4"/>
        <v>0</v>
      </c>
      <c r="I109" s="406"/>
      <c r="J109" s="400">
        <f t="shared" si="3"/>
        <v>0</v>
      </c>
    </row>
    <row r="110" spans="1:10" ht="18" customHeight="1">
      <c r="A110" s="181"/>
      <c r="B110" s="94" t="s">
        <v>90</v>
      </c>
      <c r="C110" s="22" t="s">
        <v>21</v>
      </c>
      <c r="D110" s="113">
        <f>D102/15</f>
        <v>0.99199999999999988</v>
      </c>
      <c r="E110" s="374">
        <v>15000</v>
      </c>
      <c r="F110" s="368">
        <f t="shared" si="5"/>
        <v>14879.999999999998</v>
      </c>
      <c r="G110" s="400">
        <v>12000</v>
      </c>
      <c r="H110" s="400">
        <f t="shared" si="4"/>
        <v>11903.999999999998</v>
      </c>
      <c r="I110" s="400">
        <v>15000</v>
      </c>
      <c r="J110" s="400">
        <f t="shared" si="3"/>
        <v>14879.999999999998</v>
      </c>
    </row>
    <row r="111" spans="1:10" ht="18" customHeight="1">
      <c r="A111" s="181"/>
      <c r="B111" s="94" t="s">
        <v>25</v>
      </c>
      <c r="C111" s="22" t="s">
        <v>21</v>
      </c>
      <c r="D111" s="113">
        <f>D110*2</f>
        <v>1.9839999999999998</v>
      </c>
      <c r="E111" s="374">
        <v>10000</v>
      </c>
      <c r="F111" s="368">
        <f t="shared" si="5"/>
        <v>19839.999999999996</v>
      </c>
      <c r="G111" s="400">
        <v>5000</v>
      </c>
      <c r="H111" s="400">
        <f t="shared" si="4"/>
        <v>9919.9999999999982</v>
      </c>
      <c r="I111" s="400">
        <v>7000</v>
      </c>
      <c r="J111" s="400">
        <f t="shared" si="3"/>
        <v>13887.999999999998</v>
      </c>
    </row>
    <row r="112" spans="1:10" ht="18" customHeight="1">
      <c r="A112" s="184"/>
      <c r="B112" s="10" t="s">
        <v>9</v>
      </c>
      <c r="C112" s="27"/>
      <c r="D112" s="117"/>
      <c r="E112" s="381"/>
      <c r="F112" s="368">
        <f t="shared" si="5"/>
        <v>0</v>
      </c>
      <c r="G112" s="400"/>
      <c r="H112" s="400">
        <f t="shared" si="4"/>
        <v>0</v>
      </c>
      <c r="I112" s="400"/>
      <c r="J112" s="400">
        <f t="shared" si="3"/>
        <v>0</v>
      </c>
    </row>
    <row r="113" spans="1:10" ht="18" customHeight="1">
      <c r="A113" s="184"/>
      <c r="B113" s="10"/>
      <c r="C113" s="27"/>
      <c r="D113" s="117"/>
      <c r="E113" s="381"/>
      <c r="F113" s="368">
        <f t="shared" si="5"/>
        <v>0</v>
      </c>
      <c r="G113" s="400"/>
      <c r="H113" s="400">
        <f t="shared" si="4"/>
        <v>0</v>
      </c>
      <c r="I113" s="400"/>
      <c r="J113" s="400">
        <f t="shared" si="3"/>
        <v>0</v>
      </c>
    </row>
    <row r="114" spans="1:10" s="56" customFormat="1" ht="18" customHeight="1">
      <c r="A114" s="185">
        <v>5</v>
      </c>
      <c r="B114" s="96" t="s">
        <v>105</v>
      </c>
      <c r="C114" s="65" t="s">
        <v>88</v>
      </c>
      <c r="D114" s="120">
        <v>94.819000000000003</v>
      </c>
      <c r="E114" s="375">
        <v>6375.8318480473317</v>
      </c>
      <c r="F114" s="367">
        <f t="shared" si="5"/>
        <v>604550</v>
      </c>
      <c r="G114" s="408"/>
      <c r="H114" s="403">
        <f t="shared" si="4"/>
        <v>0</v>
      </c>
      <c r="I114" s="408">
        <v>3141.1111111111109</v>
      </c>
      <c r="J114" s="403">
        <f t="shared" si="3"/>
        <v>297837.01444444444</v>
      </c>
    </row>
    <row r="115" spans="1:10" ht="18" customHeight="1">
      <c r="A115" s="184"/>
      <c r="B115" s="93" t="s">
        <v>2</v>
      </c>
      <c r="C115" s="22"/>
      <c r="D115" s="109"/>
      <c r="E115" s="374"/>
      <c r="F115" s="368">
        <f t="shared" si="5"/>
        <v>0</v>
      </c>
      <c r="G115" s="400"/>
      <c r="H115" s="400">
        <f t="shared" si="4"/>
        <v>0</v>
      </c>
      <c r="I115" s="400"/>
      <c r="J115" s="400">
        <f t="shared" si="3"/>
        <v>0</v>
      </c>
    </row>
    <row r="116" spans="1:10" s="61" customFormat="1" ht="18" customHeight="1">
      <c r="A116" s="184"/>
      <c r="B116" s="94" t="s">
        <v>106</v>
      </c>
      <c r="C116" s="22" t="s">
        <v>88</v>
      </c>
      <c r="D116" s="113">
        <f>D114*1.1</f>
        <v>104.30090000000001</v>
      </c>
      <c r="E116" s="374">
        <v>5050</v>
      </c>
      <c r="F116" s="368">
        <f t="shared" si="5"/>
        <v>526719.54500000004</v>
      </c>
      <c r="G116" s="404">
        <v>4500</v>
      </c>
      <c r="H116" s="400">
        <f t="shared" si="4"/>
        <v>469354.05000000005</v>
      </c>
      <c r="I116" s="404">
        <v>1800</v>
      </c>
      <c r="J116" s="400">
        <f t="shared" si="3"/>
        <v>187741.62000000002</v>
      </c>
    </row>
    <row r="117" spans="1:10" ht="18" customHeight="1">
      <c r="A117" s="184"/>
      <c r="B117" s="94" t="s">
        <v>107</v>
      </c>
      <c r="C117" s="22" t="s">
        <v>88</v>
      </c>
      <c r="D117" s="113">
        <f>D114*2.5%</f>
        <v>2.3704750000000003</v>
      </c>
      <c r="E117" s="374">
        <v>3500</v>
      </c>
      <c r="F117" s="368">
        <f t="shared" si="5"/>
        <v>8296.6625000000004</v>
      </c>
      <c r="G117" s="400">
        <v>2500</v>
      </c>
      <c r="H117" s="400">
        <f t="shared" si="4"/>
        <v>5926.1875000000009</v>
      </c>
      <c r="I117" s="400">
        <v>2000</v>
      </c>
      <c r="J117" s="400">
        <f t="shared" si="3"/>
        <v>4740.9500000000007</v>
      </c>
    </row>
    <row r="118" spans="1:10" ht="18" customHeight="1">
      <c r="A118" s="184"/>
      <c r="B118" s="94"/>
      <c r="C118" s="22"/>
      <c r="D118" s="113"/>
      <c r="E118" s="374"/>
      <c r="F118" s="368">
        <f t="shared" si="5"/>
        <v>0</v>
      </c>
      <c r="G118" s="400"/>
      <c r="H118" s="400">
        <f t="shared" si="4"/>
        <v>0</v>
      </c>
      <c r="I118" s="400"/>
      <c r="J118" s="400">
        <f t="shared" si="3"/>
        <v>0</v>
      </c>
    </row>
    <row r="119" spans="1:10" ht="18" customHeight="1">
      <c r="A119" s="153"/>
      <c r="B119" s="93" t="s">
        <v>108</v>
      </c>
      <c r="C119" s="27"/>
      <c r="D119" s="116"/>
      <c r="E119" s="381"/>
      <c r="F119" s="368">
        <f t="shared" si="5"/>
        <v>0</v>
      </c>
      <c r="G119" s="400"/>
      <c r="H119" s="400">
        <f t="shared" si="4"/>
        <v>0</v>
      </c>
      <c r="I119" s="400"/>
      <c r="J119" s="400">
        <f t="shared" si="3"/>
        <v>0</v>
      </c>
    </row>
    <row r="120" spans="1:10" ht="18" customHeight="1">
      <c r="A120" s="184"/>
      <c r="B120" s="94"/>
      <c r="C120" s="22"/>
      <c r="D120" s="113"/>
      <c r="E120" s="374"/>
      <c r="F120" s="368">
        <f t="shared" si="5"/>
        <v>0</v>
      </c>
      <c r="G120" s="400"/>
      <c r="H120" s="400">
        <f t="shared" si="4"/>
        <v>0</v>
      </c>
      <c r="I120" s="400"/>
      <c r="J120" s="400">
        <f t="shared" si="3"/>
        <v>0</v>
      </c>
    </row>
    <row r="121" spans="1:10" s="56" customFormat="1" ht="18" customHeight="1">
      <c r="A121" s="184"/>
      <c r="B121" s="93" t="s">
        <v>6</v>
      </c>
      <c r="C121" s="22"/>
      <c r="D121" s="113"/>
      <c r="E121" s="374"/>
      <c r="F121" s="368">
        <f t="shared" si="5"/>
        <v>0</v>
      </c>
      <c r="G121" s="406"/>
      <c r="H121" s="400">
        <f t="shared" si="4"/>
        <v>0</v>
      </c>
      <c r="I121" s="406"/>
      <c r="J121" s="400">
        <f t="shared" si="3"/>
        <v>0</v>
      </c>
    </row>
    <row r="122" spans="1:10" ht="18" customHeight="1">
      <c r="A122" s="184"/>
      <c r="B122" s="94" t="s">
        <v>109</v>
      </c>
      <c r="C122" s="22" t="s">
        <v>8</v>
      </c>
      <c r="D122" s="113">
        <f>D114/45</f>
        <v>2.1070888888888888</v>
      </c>
      <c r="E122" s="374">
        <v>17000</v>
      </c>
      <c r="F122" s="368">
        <f t="shared" si="5"/>
        <v>35820.511111111111</v>
      </c>
      <c r="G122" s="400">
        <v>12000</v>
      </c>
      <c r="H122" s="400">
        <f t="shared" si="4"/>
        <v>25285.066666666666</v>
      </c>
      <c r="I122" s="400">
        <v>36000</v>
      </c>
      <c r="J122" s="400">
        <f t="shared" si="3"/>
        <v>75855.199999999997</v>
      </c>
    </row>
    <row r="123" spans="1:10" ht="18" customHeight="1">
      <c r="A123" s="184"/>
      <c r="B123" s="94" t="s">
        <v>110</v>
      </c>
      <c r="C123" s="22" t="s">
        <v>8</v>
      </c>
      <c r="D123" s="113">
        <f>D122*2</f>
        <v>4.2141777777777776</v>
      </c>
      <c r="E123" s="374">
        <v>8000</v>
      </c>
      <c r="F123" s="368">
        <f t="shared" si="5"/>
        <v>33713.422222222223</v>
      </c>
      <c r="G123" s="400">
        <v>5000</v>
      </c>
      <c r="H123" s="400">
        <f t="shared" si="4"/>
        <v>21070.888888888887</v>
      </c>
      <c r="I123" s="400">
        <v>7000</v>
      </c>
      <c r="J123" s="400">
        <f t="shared" si="3"/>
        <v>29499.244444444445</v>
      </c>
    </row>
    <row r="124" spans="1:10" ht="18" customHeight="1">
      <c r="A124" s="153"/>
      <c r="B124" s="93" t="s">
        <v>111</v>
      </c>
      <c r="C124" s="27"/>
      <c r="D124" s="117"/>
      <c r="E124" s="381"/>
      <c r="F124" s="368">
        <f t="shared" si="5"/>
        <v>0</v>
      </c>
      <c r="G124" s="400"/>
      <c r="H124" s="400">
        <f t="shared" si="4"/>
        <v>0</v>
      </c>
      <c r="I124" s="400"/>
      <c r="J124" s="400">
        <f t="shared" si="3"/>
        <v>0</v>
      </c>
    </row>
    <row r="125" spans="1:10" ht="18" customHeight="1">
      <c r="A125" s="153"/>
      <c r="B125" s="93"/>
      <c r="C125" s="27"/>
      <c r="D125" s="117"/>
      <c r="E125" s="381"/>
      <c r="F125" s="368">
        <f t="shared" si="5"/>
        <v>0</v>
      </c>
      <c r="G125" s="400"/>
      <c r="H125" s="400">
        <f t="shared" si="4"/>
        <v>0</v>
      </c>
      <c r="I125" s="400"/>
      <c r="J125" s="400">
        <f t="shared" si="3"/>
        <v>0</v>
      </c>
    </row>
    <row r="126" spans="1:10" s="56" customFormat="1" ht="18" customHeight="1">
      <c r="A126" s="155">
        <v>6</v>
      </c>
      <c r="B126" s="476" t="s">
        <v>101</v>
      </c>
      <c r="C126" s="476"/>
      <c r="D126" s="476"/>
      <c r="E126" s="376"/>
      <c r="F126" s="368">
        <f t="shared" si="5"/>
        <v>0</v>
      </c>
      <c r="G126" s="406"/>
      <c r="H126" s="400">
        <f t="shared" si="4"/>
        <v>0</v>
      </c>
      <c r="I126" s="406"/>
      <c r="J126" s="400">
        <f t="shared" si="3"/>
        <v>0</v>
      </c>
    </row>
    <row r="127" spans="1:10" ht="18" customHeight="1">
      <c r="A127" s="179">
        <v>6.01</v>
      </c>
      <c r="B127" s="95" t="s">
        <v>102</v>
      </c>
      <c r="C127" s="65" t="s">
        <v>10</v>
      </c>
      <c r="D127" s="120">
        <f>(0.7*0.7*0.15)*4</f>
        <v>0.29399999999999993</v>
      </c>
      <c r="E127" s="375">
        <v>218000.00000000003</v>
      </c>
      <c r="F127" s="367">
        <f t="shared" si="5"/>
        <v>64091.999999999993</v>
      </c>
      <c r="G127" s="403"/>
      <c r="H127" s="403">
        <f t="shared" si="4"/>
        <v>0</v>
      </c>
      <c r="I127" s="403">
        <v>318000</v>
      </c>
      <c r="J127" s="403">
        <f t="shared" si="3"/>
        <v>93491.999999999971</v>
      </c>
    </row>
    <row r="128" spans="1:10" ht="18" customHeight="1">
      <c r="A128" s="186"/>
      <c r="B128" s="97" t="s">
        <v>2</v>
      </c>
      <c r="C128" s="53"/>
      <c r="D128" s="118"/>
      <c r="E128" s="377"/>
      <c r="F128" s="368">
        <f t="shared" si="5"/>
        <v>0</v>
      </c>
      <c r="G128" s="400"/>
      <c r="H128" s="400">
        <f t="shared" si="4"/>
        <v>0</v>
      </c>
      <c r="I128" s="400"/>
      <c r="J128" s="400">
        <f t="shared" si="3"/>
        <v>0</v>
      </c>
    </row>
    <row r="129" spans="1:10" ht="18" customHeight="1">
      <c r="A129" s="186"/>
      <c r="B129" s="98" t="s">
        <v>99</v>
      </c>
      <c r="C129" s="53" t="s">
        <v>28</v>
      </c>
      <c r="D129" s="130">
        <f>D127*1.1</f>
        <v>0.32339999999999997</v>
      </c>
      <c r="E129" s="377">
        <v>180000</v>
      </c>
      <c r="F129" s="368">
        <f t="shared" si="5"/>
        <v>58211.999999999993</v>
      </c>
      <c r="G129" s="400">
        <v>350000</v>
      </c>
      <c r="H129" s="400">
        <f t="shared" si="4"/>
        <v>113189.99999999999</v>
      </c>
      <c r="I129" s="400">
        <v>280000</v>
      </c>
      <c r="J129" s="400">
        <f t="shared" si="3"/>
        <v>90551.999999999985</v>
      </c>
    </row>
    <row r="130" spans="1:10" s="61" customFormat="1" ht="18" customHeight="1">
      <c r="A130" s="187"/>
      <c r="B130" s="97" t="s">
        <v>100</v>
      </c>
      <c r="C130" s="54"/>
      <c r="D130" s="119"/>
      <c r="E130" s="384"/>
      <c r="F130" s="368">
        <f t="shared" si="5"/>
        <v>0</v>
      </c>
      <c r="G130" s="404"/>
      <c r="H130" s="400">
        <f t="shared" si="4"/>
        <v>0</v>
      </c>
      <c r="I130" s="404"/>
      <c r="J130" s="400">
        <f t="shared" si="3"/>
        <v>0</v>
      </c>
    </row>
    <row r="131" spans="1:10" ht="18" customHeight="1">
      <c r="A131" s="187"/>
      <c r="B131" s="97"/>
      <c r="C131" s="54"/>
      <c r="D131" s="119"/>
      <c r="E131" s="384"/>
      <c r="F131" s="368">
        <f t="shared" si="5"/>
        <v>0</v>
      </c>
      <c r="G131" s="400"/>
      <c r="H131" s="400">
        <f t="shared" si="4"/>
        <v>0</v>
      </c>
      <c r="I131" s="400"/>
      <c r="J131" s="400">
        <f t="shared" si="3"/>
        <v>0</v>
      </c>
    </row>
    <row r="132" spans="1:10" ht="18" customHeight="1">
      <c r="A132" s="184"/>
      <c r="B132" s="93" t="s">
        <v>19</v>
      </c>
      <c r="C132" s="22"/>
      <c r="D132" s="113"/>
      <c r="E132" s="374"/>
      <c r="F132" s="368">
        <f t="shared" si="5"/>
        <v>0</v>
      </c>
      <c r="G132" s="400"/>
      <c r="H132" s="400">
        <f t="shared" si="4"/>
        <v>0</v>
      </c>
      <c r="I132" s="400"/>
      <c r="J132" s="400">
        <f t="shared" si="3"/>
        <v>0</v>
      </c>
    </row>
    <row r="133" spans="1:10" ht="18" customHeight="1">
      <c r="A133" s="184"/>
      <c r="B133" s="94" t="s">
        <v>22</v>
      </c>
      <c r="C133" s="22" t="s">
        <v>21</v>
      </c>
      <c r="D133" s="113">
        <f>D127/6</f>
        <v>4.8999999999999988E-2</v>
      </c>
      <c r="E133" s="374">
        <v>65000</v>
      </c>
      <c r="F133" s="368">
        <f t="shared" si="5"/>
        <v>3184.9999999999991</v>
      </c>
      <c r="G133" s="400">
        <v>50000</v>
      </c>
      <c r="H133" s="400">
        <f t="shared" si="4"/>
        <v>2449.9999999999995</v>
      </c>
      <c r="I133" s="400">
        <v>40000</v>
      </c>
      <c r="J133" s="400">
        <f t="shared" ref="J133:J196" si="6">D133*I133</f>
        <v>1959.9999999999995</v>
      </c>
    </row>
    <row r="134" spans="1:10" ht="18" customHeight="1">
      <c r="A134" s="153"/>
      <c r="B134" s="93" t="s">
        <v>112</v>
      </c>
      <c r="C134" s="27"/>
      <c r="D134" s="116"/>
      <c r="E134" s="381"/>
      <c r="F134" s="368">
        <f t="shared" si="5"/>
        <v>0</v>
      </c>
      <c r="G134" s="400"/>
      <c r="H134" s="400">
        <f t="shared" si="4"/>
        <v>0</v>
      </c>
      <c r="I134" s="400"/>
      <c r="J134" s="400">
        <f t="shared" si="6"/>
        <v>0</v>
      </c>
    </row>
    <row r="135" spans="1:10" ht="18" customHeight="1">
      <c r="A135" s="153"/>
      <c r="B135" s="93"/>
      <c r="C135" s="27"/>
      <c r="D135" s="116"/>
      <c r="E135" s="381"/>
      <c r="F135" s="368">
        <f t="shared" si="5"/>
        <v>0</v>
      </c>
      <c r="G135" s="400"/>
      <c r="H135" s="400">
        <f t="shared" ref="H135:H198" si="7">D135*G135</f>
        <v>0</v>
      </c>
      <c r="I135" s="400"/>
      <c r="J135" s="400">
        <f t="shared" si="6"/>
        <v>0</v>
      </c>
    </row>
    <row r="136" spans="1:10" ht="18" customHeight="1">
      <c r="A136" s="186"/>
      <c r="B136" s="98" t="s">
        <v>26</v>
      </c>
      <c r="C136" s="53" t="s">
        <v>21</v>
      </c>
      <c r="D136" s="130">
        <f>D133</f>
        <v>4.8999999999999988E-2</v>
      </c>
      <c r="E136" s="377">
        <v>55000</v>
      </c>
      <c r="F136" s="368">
        <f t="shared" ref="F136:F199" si="8">D136*E136</f>
        <v>2694.9999999999995</v>
      </c>
      <c r="G136" s="400">
        <v>10000</v>
      </c>
      <c r="H136" s="400">
        <f t="shared" si="7"/>
        <v>489.99999999999989</v>
      </c>
      <c r="I136" s="400">
        <v>20000</v>
      </c>
      <c r="J136" s="400">
        <f t="shared" si="6"/>
        <v>979.99999999999977</v>
      </c>
    </row>
    <row r="137" spans="1:10" ht="18" customHeight="1">
      <c r="A137" s="187"/>
      <c r="B137" s="97" t="s">
        <v>113</v>
      </c>
      <c r="C137" s="54"/>
      <c r="D137" s="119"/>
      <c r="E137" s="384"/>
      <c r="F137" s="368">
        <f t="shared" si="8"/>
        <v>0</v>
      </c>
      <c r="G137" s="400"/>
      <c r="H137" s="400">
        <f t="shared" si="7"/>
        <v>0</v>
      </c>
      <c r="I137" s="400"/>
      <c r="J137" s="400">
        <f t="shared" si="6"/>
        <v>0</v>
      </c>
    </row>
    <row r="138" spans="1:10" ht="18" customHeight="1">
      <c r="A138" s="179">
        <v>6.02</v>
      </c>
      <c r="B138" s="95" t="s">
        <v>103</v>
      </c>
      <c r="C138" s="65" t="s">
        <v>10</v>
      </c>
      <c r="D138" s="120">
        <f>(1*0.25*0.25)*4</f>
        <v>0.25</v>
      </c>
      <c r="E138" s="375">
        <v>223920.00000000003</v>
      </c>
      <c r="F138" s="367">
        <f t="shared" si="8"/>
        <v>55980.000000000007</v>
      </c>
      <c r="G138" s="403"/>
      <c r="H138" s="403">
        <f t="shared" si="7"/>
        <v>0</v>
      </c>
      <c r="I138" s="403">
        <v>309960</v>
      </c>
      <c r="J138" s="403">
        <f t="shared" si="6"/>
        <v>77490</v>
      </c>
    </row>
    <row r="139" spans="1:10" s="56" customFormat="1" ht="18" customHeight="1">
      <c r="A139" s="186"/>
      <c r="B139" s="97" t="s">
        <v>2</v>
      </c>
      <c r="C139" s="53"/>
      <c r="D139" s="118"/>
      <c r="E139" s="377"/>
      <c r="F139" s="368">
        <f t="shared" si="8"/>
        <v>0</v>
      </c>
      <c r="G139" s="406"/>
      <c r="H139" s="400">
        <f t="shared" si="7"/>
        <v>0</v>
      </c>
      <c r="I139" s="406"/>
      <c r="J139" s="400">
        <f t="shared" si="6"/>
        <v>0</v>
      </c>
    </row>
    <row r="140" spans="1:10" ht="18" customHeight="1">
      <c r="A140" s="186"/>
      <c r="B140" s="98" t="s">
        <v>99</v>
      </c>
      <c r="C140" s="53" t="s">
        <v>28</v>
      </c>
      <c r="D140" s="130">
        <f>D138*1.1</f>
        <v>0.27500000000000002</v>
      </c>
      <c r="E140" s="377">
        <v>200000</v>
      </c>
      <c r="F140" s="368">
        <f t="shared" si="8"/>
        <v>55000.000000000007</v>
      </c>
      <c r="G140" s="400">
        <v>350000</v>
      </c>
      <c r="H140" s="400">
        <f t="shared" si="7"/>
        <v>96250.000000000015</v>
      </c>
      <c r="I140" s="400">
        <v>280000</v>
      </c>
      <c r="J140" s="400">
        <f t="shared" si="6"/>
        <v>77000</v>
      </c>
    </row>
    <row r="141" spans="1:10" ht="18" customHeight="1">
      <c r="A141" s="187"/>
      <c r="B141" s="97" t="s">
        <v>100</v>
      </c>
      <c r="C141" s="54"/>
      <c r="D141" s="119"/>
      <c r="E141" s="384"/>
      <c r="F141" s="368">
        <f t="shared" si="8"/>
        <v>0</v>
      </c>
      <c r="G141" s="400"/>
      <c r="H141" s="400">
        <f t="shared" si="7"/>
        <v>0</v>
      </c>
      <c r="I141" s="400"/>
      <c r="J141" s="400">
        <f t="shared" si="6"/>
        <v>0</v>
      </c>
    </row>
    <row r="142" spans="1:10" ht="18" customHeight="1">
      <c r="A142" s="187"/>
      <c r="B142" s="97"/>
      <c r="C142" s="54"/>
      <c r="D142" s="119"/>
      <c r="E142" s="384"/>
      <c r="F142" s="368">
        <f t="shared" si="8"/>
        <v>0</v>
      </c>
      <c r="G142" s="400"/>
      <c r="H142" s="400">
        <f t="shared" si="7"/>
        <v>0</v>
      </c>
      <c r="I142" s="400"/>
      <c r="J142" s="400">
        <f t="shared" si="6"/>
        <v>0</v>
      </c>
    </row>
    <row r="143" spans="1:10" ht="18" customHeight="1">
      <c r="A143" s="184"/>
      <c r="B143" s="93" t="s">
        <v>19</v>
      </c>
      <c r="C143" s="22"/>
      <c r="D143" s="113"/>
      <c r="E143" s="374"/>
      <c r="F143" s="368">
        <f t="shared" si="8"/>
        <v>0</v>
      </c>
      <c r="G143" s="400"/>
      <c r="H143" s="400">
        <f t="shared" si="7"/>
        <v>0</v>
      </c>
      <c r="I143" s="400"/>
      <c r="J143" s="400">
        <f t="shared" si="6"/>
        <v>0</v>
      </c>
    </row>
    <row r="144" spans="1:10" s="56" customFormat="1" ht="18" customHeight="1">
      <c r="A144" s="184"/>
      <c r="B144" s="94" t="s">
        <v>22</v>
      </c>
      <c r="C144" s="22" t="s">
        <v>21</v>
      </c>
      <c r="D144" s="230">
        <f>D136/6</f>
        <v>8.1666666666666641E-3</v>
      </c>
      <c r="E144" s="374">
        <v>65000</v>
      </c>
      <c r="F144" s="368">
        <f t="shared" si="8"/>
        <v>530.83333333333314</v>
      </c>
      <c r="G144" s="406">
        <v>50000</v>
      </c>
      <c r="H144" s="400">
        <f t="shared" si="7"/>
        <v>408.3333333333332</v>
      </c>
      <c r="I144" s="406">
        <v>40000</v>
      </c>
      <c r="J144" s="400">
        <f t="shared" si="6"/>
        <v>326.66666666666657</v>
      </c>
    </row>
    <row r="145" spans="1:10" ht="18" customHeight="1">
      <c r="A145" s="153"/>
      <c r="B145" s="93" t="s">
        <v>112</v>
      </c>
      <c r="C145" s="27"/>
      <c r="D145" s="116"/>
      <c r="E145" s="381"/>
      <c r="F145" s="368">
        <f t="shared" si="8"/>
        <v>0</v>
      </c>
      <c r="G145" s="400"/>
      <c r="H145" s="400">
        <f t="shared" si="7"/>
        <v>0</v>
      </c>
      <c r="I145" s="400"/>
      <c r="J145" s="400">
        <f t="shared" si="6"/>
        <v>0</v>
      </c>
    </row>
    <row r="146" spans="1:10" ht="18" customHeight="1">
      <c r="A146" s="153"/>
      <c r="B146" s="93"/>
      <c r="C146" s="27"/>
      <c r="D146" s="116"/>
      <c r="E146" s="381"/>
      <c r="F146" s="368">
        <f t="shared" si="8"/>
        <v>0</v>
      </c>
      <c r="G146" s="400"/>
      <c r="H146" s="400">
        <f t="shared" si="7"/>
        <v>0</v>
      </c>
      <c r="I146" s="400"/>
      <c r="J146" s="400">
        <f t="shared" si="6"/>
        <v>0</v>
      </c>
    </row>
    <row r="147" spans="1:10" ht="18" customHeight="1">
      <c r="A147" s="186"/>
      <c r="B147" s="98" t="s">
        <v>26</v>
      </c>
      <c r="C147" s="53" t="s">
        <v>21</v>
      </c>
      <c r="D147" s="231">
        <f>D144</f>
        <v>8.1666666666666641E-3</v>
      </c>
      <c r="E147" s="377">
        <v>55000</v>
      </c>
      <c r="F147" s="368">
        <f t="shared" si="8"/>
        <v>449.16666666666652</v>
      </c>
      <c r="G147" s="400">
        <v>12000</v>
      </c>
      <c r="H147" s="400">
        <f t="shared" si="7"/>
        <v>97.999999999999972</v>
      </c>
      <c r="I147" s="400">
        <v>20000</v>
      </c>
      <c r="J147" s="400">
        <f t="shared" si="6"/>
        <v>163.33333333333329</v>
      </c>
    </row>
    <row r="148" spans="1:10" ht="18" customHeight="1">
      <c r="A148" s="187"/>
      <c r="B148" s="97" t="s">
        <v>113</v>
      </c>
      <c r="C148" s="54"/>
      <c r="D148" s="119"/>
      <c r="E148" s="384"/>
      <c r="F148" s="368">
        <f t="shared" si="8"/>
        <v>0</v>
      </c>
      <c r="G148" s="400"/>
      <c r="H148" s="400">
        <f t="shared" si="7"/>
        <v>0</v>
      </c>
      <c r="I148" s="400"/>
      <c r="J148" s="400">
        <f t="shared" si="6"/>
        <v>0</v>
      </c>
    </row>
    <row r="149" spans="1:10" s="61" customFormat="1" ht="18" customHeight="1">
      <c r="A149" s="179">
        <v>6.03</v>
      </c>
      <c r="B149" s="95" t="s">
        <v>104</v>
      </c>
      <c r="C149" s="65" t="s">
        <v>10</v>
      </c>
      <c r="D149" s="120">
        <f>(3*0.25*0.25)*4</f>
        <v>0.75</v>
      </c>
      <c r="E149" s="375">
        <v>295000.00000000006</v>
      </c>
      <c r="F149" s="367">
        <f t="shared" si="8"/>
        <v>221250.00000000006</v>
      </c>
      <c r="G149" s="403"/>
      <c r="H149" s="403">
        <f t="shared" si="7"/>
        <v>0</v>
      </c>
      <c r="I149" s="403">
        <v>318000</v>
      </c>
      <c r="J149" s="403">
        <f t="shared" si="6"/>
        <v>238500</v>
      </c>
    </row>
    <row r="150" spans="1:10" ht="18" customHeight="1">
      <c r="A150" s="186"/>
      <c r="B150" s="97" t="s">
        <v>2</v>
      </c>
      <c r="C150" s="53"/>
      <c r="D150" s="118"/>
      <c r="E150" s="377"/>
      <c r="F150" s="368">
        <f t="shared" si="8"/>
        <v>0</v>
      </c>
      <c r="G150" s="400"/>
      <c r="H150" s="400">
        <f t="shared" si="7"/>
        <v>0</v>
      </c>
      <c r="I150" s="400"/>
      <c r="J150" s="400">
        <f t="shared" si="6"/>
        <v>0</v>
      </c>
    </row>
    <row r="151" spans="1:10" ht="18" customHeight="1">
      <c r="A151" s="186"/>
      <c r="B151" s="98" t="s">
        <v>99</v>
      </c>
      <c r="C151" s="53" t="s">
        <v>28</v>
      </c>
      <c r="D151" s="130">
        <f>D149*1.1</f>
        <v>0.82500000000000007</v>
      </c>
      <c r="E151" s="377">
        <v>250000</v>
      </c>
      <c r="F151" s="368">
        <f t="shared" si="8"/>
        <v>206250.00000000003</v>
      </c>
      <c r="G151" s="400">
        <v>350000</v>
      </c>
      <c r="H151" s="400">
        <f t="shared" si="7"/>
        <v>288750</v>
      </c>
      <c r="I151" s="400">
        <v>280000</v>
      </c>
      <c r="J151" s="400">
        <f t="shared" si="6"/>
        <v>231000.00000000003</v>
      </c>
    </row>
    <row r="152" spans="1:10" ht="18" customHeight="1">
      <c r="A152" s="187"/>
      <c r="B152" s="97" t="s">
        <v>100</v>
      </c>
      <c r="C152" s="54"/>
      <c r="D152" s="119"/>
      <c r="E152" s="384"/>
      <c r="F152" s="368">
        <f t="shared" si="8"/>
        <v>0</v>
      </c>
      <c r="G152" s="400"/>
      <c r="H152" s="400">
        <f t="shared" si="7"/>
        <v>0</v>
      </c>
      <c r="I152" s="400"/>
      <c r="J152" s="400">
        <f t="shared" si="6"/>
        <v>0</v>
      </c>
    </row>
    <row r="153" spans="1:10" ht="18" customHeight="1">
      <c r="A153" s="187"/>
      <c r="B153" s="97"/>
      <c r="C153" s="54"/>
      <c r="D153" s="119"/>
      <c r="E153" s="384"/>
      <c r="F153" s="368">
        <f t="shared" si="8"/>
        <v>0</v>
      </c>
      <c r="G153" s="400"/>
      <c r="H153" s="400">
        <f t="shared" si="7"/>
        <v>0</v>
      </c>
      <c r="I153" s="400"/>
      <c r="J153" s="400">
        <f t="shared" si="6"/>
        <v>0</v>
      </c>
    </row>
    <row r="154" spans="1:10" s="52" customFormat="1" ht="18" customHeight="1">
      <c r="A154" s="184"/>
      <c r="B154" s="93" t="s">
        <v>19</v>
      </c>
      <c r="C154" s="22"/>
      <c r="D154" s="113"/>
      <c r="E154" s="374"/>
      <c r="F154" s="368">
        <f t="shared" si="8"/>
        <v>0</v>
      </c>
      <c r="G154" s="419"/>
      <c r="H154" s="400">
        <f t="shared" si="7"/>
        <v>0</v>
      </c>
      <c r="I154" s="419"/>
      <c r="J154" s="400">
        <f t="shared" si="6"/>
        <v>0</v>
      </c>
    </row>
    <row r="155" spans="1:10" ht="18" customHeight="1">
      <c r="A155" s="184"/>
      <c r="B155" s="94" t="s">
        <v>22</v>
      </c>
      <c r="C155" s="22" t="s">
        <v>21</v>
      </c>
      <c r="D155" s="113">
        <f>D149/6</f>
        <v>0.125</v>
      </c>
      <c r="E155" s="374">
        <v>65000</v>
      </c>
      <c r="F155" s="368">
        <f t="shared" si="8"/>
        <v>8125</v>
      </c>
      <c r="G155" s="400">
        <v>50000</v>
      </c>
      <c r="H155" s="400">
        <f t="shared" si="7"/>
        <v>6250</v>
      </c>
      <c r="I155" s="400">
        <v>40000</v>
      </c>
      <c r="J155" s="400">
        <f t="shared" si="6"/>
        <v>5000</v>
      </c>
    </row>
    <row r="156" spans="1:10" ht="18" customHeight="1">
      <c r="A156" s="153"/>
      <c r="B156" s="93" t="s">
        <v>112</v>
      </c>
      <c r="C156" s="27"/>
      <c r="D156" s="116"/>
      <c r="E156" s="381"/>
      <c r="F156" s="368">
        <f t="shared" si="8"/>
        <v>0</v>
      </c>
      <c r="G156" s="400"/>
      <c r="H156" s="400">
        <f t="shared" si="7"/>
        <v>0</v>
      </c>
      <c r="I156" s="400"/>
      <c r="J156" s="400">
        <f t="shared" si="6"/>
        <v>0</v>
      </c>
    </row>
    <row r="157" spans="1:10" ht="18" customHeight="1">
      <c r="A157" s="153"/>
      <c r="B157" s="93"/>
      <c r="C157" s="27"/>
      <c r="D157" s="116"/>
      <c r="E157" s="381"/>
      <c r="F157" s="368">
        <f t="shared" si="8"/>
        <v>0</v>
      </c>
      <c r="G157" s="400"/>
      <c r="H157" s="400">
        <f t="shared" si="7"/>
        <v>0</v>
      </c>
      <c r="I157" s="400"/>
      <c r="J157" s="400">
        <f t="shared" si="6"/>
        <v>0</v>
      </c>
    </row>
    <row r="158" spans="1:10" ht="18" customHeight="1">
      <c r="A158" s="186"/>
      <c r="B158" s="98" t="s">
        <v>26</v>
      </c>
      <c r="C158" s="53" t="s">
        <v>21</v>
      </c>
      <c r="D158" s="130">
        <f>D155</f>
        <v>0.125</v>
      </c>
      <c r="E158" s="377">
        <v>55000</v>
      </c>
      <c r="F158" s="368">
        <f t="shared" si="8"/>
        <v>6875</v>
      </c>
      <c r="G158" s="400">
        <v>50000</v>
      </c>
      <c r="H158" s="400">
        <f t="shared" si="7"/>
        <v>6250</v>
      </c>
      <c r="I158" s="400">
        <v>20000</v>
      </c>
      <c r="J158" s="400">
        <f t="shared" si="6"/>
        <v>2500</v>
      </c>
    </row>
    <row r="159" spans="1:10" s="56" customFormat="1" ht="18" customHeight="1">
      <c r="A159" s="187"/>
      <c r="B159" s="97" t="s">
        <v>113</v>
      </c>
      <c r="C159" s="54"/>
      <c r="D159" s="119"/>
      <c r="E159" s="384"/>
      <c r="F159" s="368">
        <f t="shared" si="8"/>
        <v>0</v>
      </c>
      <c r="G159" s="406"/>
      <c r="H159" s="400">
        <f t="shared" si="7"/>
        <v>0</v>
      </c>
      <c r="I159" s="406"/>
      <c r="J159" s="400">
        <f t="shared" si="6"/>
        <v>0</v>
      </c>
    </row>
    <row r="160" spans="1:10" s="56" customFormat="1" ht="18" customHeight="1">
      <c r="A160" s="187"/>
      <c r="B160" s="97"/>
      <c r="C160" s="54"/>
      <c r="D160" s="119"/>
      <c r="E160" s="384"/>
      <c r="F160" s="368">
        <f t="shared" si="8"/>
        <v>0</v>
      </c>
      <c r="G160" s="406"/>
      <c r="H160" s="400">
        <f t="shared" si="7"/>
        <v>0</v>
      </c>
      <c r="I160" s="406"/>
      <c r="J160" s="400">
        <f t="shared" si="6"/>
        <v>0</v>
      </c>
    </row>
    <row r="161" spans="1:10" s="86" customFormat="1" ht="18" customHeight="1">
      <c r="A161" s="155">
        <v>7</v>
      </c>
      <c r="B161" s="474" t="s">
        <v>73</v>
      </c>
      <c r="C161" s="474"/>
      <c r="D161" s="474"/>
      <c r="E161" s="372"/>
      <c r="F161" s="368">
        <f t="shared" si="8"/>
        <v>0</v>
      </c>
      <c r="G161" s="409"/>
      <c r="H161" s="400">
        <f t="shared" si="7"/>
        <v>0</v>
      </c>
      <c r="I161" s="409"/>
      <c r="J161" s="400">
        <f t="shared" si="6"/>
        <v>0</v>
      </c>
    </row>
    <row r="162" spans="1:10" ht="18" customHeight="1">
      <c r="A162" s="182">
        <v>7.01</v>
      </c>
      <c r="B162" s="15" t="s">
        <v>71</v>
      </c>
      <c r="C162" s="3" t="s">
        <v>28</v>
      </c>
      <c r="D162" s="112">
        <f>0.4*0.8*20</f>
        <v>6.4000000000000012</v>
      </c>
      <c r="E162" s="371">
        <v>95069.756862745111</v>
      </c>
      <c r="F162" s="367">
        <f t="shared" si="8"/>
        <v>608446.4439215688</v>
      </c>
      <c r="G162" s="403"/>
      <c r="H162" s="403">
        <f t="shared" si="7"/>
        <v>0</v>
      </c>
      <c r="I162" s="403">
        <v>87826.431372549036</v>
      </c>
      <c r="J162" s="403">
        <f t="shared" si="6"/>
        <v>562089.16078431392</v>
      </c>
    </row>
    <row r="163" spans="1:10" ht="18" customHeight="1">
      <c r="A163" s="181"/>
      <c r="B163" s="7" t="s">
        <v>29</v>
      </c>
      <c r="C163" s="8"/>
      <c r="D163" s="114"/>
      <c r="E163" s="368"/>
      <c r="F163" s="368">
        <f t="shared" si="8"/>
        <v>0</v>
      </c>
      <c r="G163" s="400"/>
      <c r="H163" s="400">
        <f t="shared" si="7"/>
        <v>0</v>
      </c>
      <c r="I163" s="400"/>
      <c r="J163" s="400">
        <f t="shared" si="6"/>
        <v>0</v>
      </c>
    </row>
    <row r="164" spans="1:10" ht="18" customHeight="1">
      <c r="A164" s="181"/>
      <c r="B164" s="12" t="s">
        <v>30</v>
      </c>
      <c r="C164" s="8" t="s">
        <v>28</v>
      </c>
      <c r="D164" s="113">
        <f>D162*(10/17)*1.57</f>
        <v>5.910588235294119</v>
      </c>
      <c r="E164" s="368">
        <v>33500</v>
      </c>
      <c r="F164" s="368">
        <f t="shared" si="8"/>
        <v>198004.70588235298</v>
      </c>
      <c r="G164" s="400">
        <v>15000</v>
      </c>
      <c r="H164" s="400">
        <f t="shared" si="7"/>
        <v>88658.823529411791</v>
      </c>
      <c r="I164" s="400">
        <v>25000</v>
      </c>
      <c r="J164" s="400">
        <f t="shared" si="6"/>
        <v>147764.70588235298</v>
      </c>
    </row>
    <row r="165" spans="1:10" s="61" customFormat="1" ht="18" customHeight="1">
      <c r="A165" s="181"/>
      <c r="B165" s="12" t="s">
        <v>11</v>
      </c>
      <c r="C165" s="8" t="s">
        <v>31</v>
      </c>
      <c r="D165" s="113">
        <f>D162*(1/17)*1.57*(1440/50)</f>
        <v>17.022494117647064</v>
      </c>
      <c r="E165" s="368">
        <v>11200</v>
      </c>
      <c r="F165" s="368">
        <f t="shared" si="8"/>
        <v>190651.93411764712</v>
      </c>
      <c r="G165" s="404">
        <v>14000</v>
      </c>
      <c r="H165" s="400">
        <f t="shared" si="7"/>
        <v>238314.9176470589</v>
      </c>
      <c r="I165" s="404">
        <v>13500</v>
      </c>
      <c r="J165" s="400">
        <f t="shared" si="6"/>
        <v>229803.67058823537</v>
      </c>
    </row>
    <row r="166" spans="1:10" ht="18" customHeight="1">
      <c r="A166" s="181"/>
      <c r="B166" s="12" t="s">
        <v>32</v>
      </c>
      <c r="C166" s="8" t="s">
        <v>28</v>
      </c>
      <c r="D166" s="113">
        <f>D162*(6/17)*1.57</f>
        <v>3.5463529411764716</v>
      </c>
      <c r="E166" s="368">
        <v>32500</v>
      </c>
      <c r="F166" s="368">
        <f t="shared" si="8"/>
        <v>115256.47058823533</v>
      </c>
      <c r="G166" s="400">
        <v>25000</v>
      </c>
      <c r="H166" s="400">
        <f t="shared" si="7"/>
        <v>88658.823529411791</v>
      </c>
      <c r="I166" s="400">
        <v>40000</v>
      </c>
      <c r="J166" s="400">
        <f t="shared" si="6"/>
        <v>141854.11764705885</v>
      </c>
    </row>
    <row r="167" spans="1:10" ht="18" customHeight="1">
      <c r="A167" s="181"/>
      <c r="B167" s="7" t="s">
        <v>5</v>
      </c>
      <c r="C167" s="8"/>
      <c r="D167" s="113"/>
      <c r="E167" s="378"/>
      <c r="F167" s="368">
        <f t="shared" si="8"/>
        <v>0</v>
      </c>
      <c r="G167" s="400"/>
      <c r="H167" s="400">
        <f t="shared" si="7"/>
        <v>0</v>
      </c>
      <c r="I167" s="400"/>
      <c r="J167" s="400">
        <f t="shared" si="6"/>
        <v>0</v>
      </c>
    </row>
    <row r="168" spans="1:10" ht="18" customHeight="1">
      <c r="A168" s="181"/>
      <c r="B168" s="12"/>
      <c r="C168" s="8"/>
      <c r="D168" s="113"/>
      <c r="E168" s="368"/>
      <c r="F168" s="368">
        <f t="shared" si="8"/>
        <v>0</v>
      </c>
      <c r="G168" s="400"/>
      <c r="H168" s="400">
        <f t="shared" si="7"/>
        <v>0</v>
      </c>
      <c r="I168" s="400"/>
      <c r="J168" s="400">
        <f t="shared" si="6"/>
        <v>0</v>
      </c>
    </row>
    <row r="169" spans="1:10" ht="18" customHeight="1">
      <c r="A169" s="180"/>
      <c r="B169" s="7" t="s">
        <v>33</v>
      </c>
      <c r="C169" s="8"/>
      <c r="D169" s="113"/>
      <c r="E169" s="368"/>
      <c r="F169" s="368">
        <f t="shared" si="8"/>
        <v>0</v>
      </c>
      <c r="G169" s="400"/>
      <c r="H169" s="400">
        <f t="shared" si="7"/>
        <v>0</v>
      </c>
      <c r="I169" s="400"/>
      <c r="J169" s="400">
        <f t="shared" si="6"/>
        <v>0</v>
      </c>
    </row>
    <row r="170" spans="1:10" ht="18" customHeight="1">
      <c r="A170" s="180"/>
      <c r="B170" s="12" t="s">
        <v>34</v>
      </c>
      <c r="C170" s="8" t="s">
        <v>21</v>
      </c>
      <c r="D170" s="113">
        <f>D162/1.5</f>
        <v>4.2666666666666675</v>
      </c>
      <c r="E170" s="368">
        <v>9500</v>
      </c>
      <c r="F170" s="368">
        <f t="shared" si="8"/>
        <v>40533.333333333343</v>
      </c>
      <c r="G170" s="400">
        <v>10000</v>
      </c>
      <c r="H170" s="400">
        <f t="shared" si="7"/>
        <v>42666.666666666672</v>
      </c>
      <c r="I170" s="400">
        <v>5000</v>
      </c>
      <c r="J170" s="400">
        <f t="shared" si="6"/>
        <v>21333.333333333336</v>
      </c>
    </row>
    <row r="171" spans="1:10" ht="18" customHeight="1">
      <c r="A171" s="180"/>
      <c r="B171" s="12" t="s">
        <v>7</v>
      </c>
      <c r="C171" s="8" t="s">
        <v>21</v>
      </c>
      <c r="D171" s="113">
        <f>+D170*2</f>
        <v>8.533333333333335</v>
      </c>
      <c r="E171" s="368">
        <v>7500</v>
      </c>
      <c r="F171" s="368">
        <f t="shared" si="8"/>
        <v>64000.000000000015</v>
      </c>
      <c r="G171" s="400">
        <v>5000</v>
      </c>
      <c r="H171" s="400">
        <f t="shared" si="7"/>
        <v>42666.666666666672</v>
      </c>
      <c r="I171" s="400">
        <v>2500</v>
      </c>
      <c r="J171" s="400">
        <f t="shared" si="6"/>
        <v>21333.333333333336</v>
      </c>
    </row>
    <row r="172" spans="1:10" ht="18" customHeight="1">
      <c r="A172" s="153"/>
      <c r="B172" s="93" t="s">
        <v>9</v>
      </c>
      <c r="C172" s="27"/>
      <c r="D172" s="116"/>
      <c r="E172" s="381"/>
      <c r="F172" s="368">
        <f t="shared" si="8"/>
        <v>0</v>
      </c>
      <c r="G172" s="400"/>
      <c r="H172" s="400">
        <f t="shared" si="7"/>
        <v>0</v>
      </c>
      <c r="I172" s="400"/>
      <c r="J172" s="400">
        <f t="shared" si="6"/>
        <v>0</v>
      </c>
    </row>
    <row r="173" spans="1:10" ht="18" customHeight="1">
      <c r="A173" s="179">
        <v>8.01</v>
      </c>
      <c r="B173" s="15" t="s">
        <v>35</v>
      </c>
      <c r="C173" s="34" t="s">
        <v>36</v>
      </c>
      <c r="D173" s="120">
        <f>147.6*0.25</f>
        <v>36.9</v>
      </c>
      <c r="E173" s="367">
        <v>980</v>
      </c>
      <c r="F173" s="367">
        <f t="shared" si="8"/>
        <v>36162</v>
      </c>
      <c r="G173" s="403"/>
      <c r="H173" s="403">
        <f t="shared" si="7"/>
        <v>0</v>
      </c>
      <c r="I173" s="403">
        <v>4500</v>
      </c>
      <c r="J173" s="403">
        <f t="shared" si="6"/>
        <v>166050</v>
      </c>
    </row>
    <row r="174" spans="1:10" ht="18" customHeight="1">
      <c r="A174" s="181"/>
      <c r="B174" s="7" t="s">
        <v>29</v>
      </c>
      <c r="C174" s="8"/>
      <c r="D174" s="113"/>
      <c r="E174" s="368"/>
      <c r="F174" s="368">
        <f t="shared" si="8"/>
        <v>0</v>
      </c>
      <c r="G174" s="400"/>
      <c r="H174" s="400">
        <f t="shared" si="7"/>
        <v>0</v>
      </c>
      <c r="I174" s="400"/>
      <c r="J174" s="400">
        <f t="shared" si="6"/>
        <v>0</v>
      </c>
    </row>
    <row r="175" spans="1:10" ht="18" customHeight="1">
      <c r="A175" s="180"/>
      <c r="B175" s="12" t="s">
        <v>37</v>
      </c>
      <c r="C175" s="8" t="s">
        <v>38</v>
      </c>
      <c r="D175" s="130">
        <f>D173</f>
        <v>36.9</v>
      </c>
      <c r="E175" s="368">
        <v>500</v>
      </c>
      <c r="F175" s="368">
        <f t="shared" si="8"/>
        <v>18450</v>
      </c>
      <c r="G175" s="400">
        <v>2500</v>
      </c>
      <c r="H175" s="400">
        <f t="shared" si="7"/>
        <v>92250</v>
      </c>
      <c r="I175" s="400">
        <v>4000</v>
      </c>
      <c r="J175" s="400">
        <f t="shared" si="6"/>
        <v>147600</v>
      </c>
    </row>
    <row r="176" spans="1:10" ht="18" customHeight="1">
      <c r="A176" s="155"/>
      <c r="B176" s="7" t="s">
        <v>5</v>
      </c>
      <c r="C176" s="11"/>
      <c r="D176" s="119"/>
      <c r="E176" s="378"/>
      <c r="F176" s="368">
        <f t="shared" si="8"/>
        <v>0</v>
      </c>
      <c r="G176" s="400"/>
      <c r="H176" s="400">
        <f t="shared" si="7"/>
        <v>0</v>
      </c>
      <c r="I176" s="400"/>
      <c r="J176" s="400">
        <f t="shared" si="6"/>
        <v>0</v>
      </c>
    </row>
    <row r="177" spans="1:10" ht="18" customHeight="1">
      <c r="A177" s="180"/>
      <c r="B177" s="12"/>
      <c r="C177" s="8"/>
      <c r="D177" s="130"/>
      <c r="E177" s="368"/>
      <c r="F177" s="368">
        <f t="shared" si="8"/>
        <v>0</v>
      </c>
      <c r="G177" s="400"/>
      <c r="H177" s="400">
        <f t="shared" si="7"/>
        <v>0</v>
      </c>
      <c r="I177" s="400"/>
      <c r="J177" s="400">
        <f t="shared" si="6"/>
        <v>0</v>
      </c>
    </row>
    <row r="178" spans="1:10" ht="18" customHeight="1">
      <c r="A178" s="214"/>
      <c r="B178" s="7" t="s">
        <v>33</v>
      </c>
      <c r="C178" s="8"/>
      <c r="D178" s="130"/>
      <c r="E178" s="368"/>
      <c r="F178" s="368">
        <f t="shared" si="8"/>
        <v>0</v>
      </c>
      <c r="G178" s="400"/>
      <c r="H178" s="400">
        <f t="shared" si="7"/>
        <v>0</v>
      </c>
      <c r="I178" s="400"/>
      <c r="J178" s="400">
        <f t="shared" si="6"/>
        <v>0</v>
      </c>
    </row>
    <row r="179" spans="1:10" ht="18" customHeight="1">
      <c r="A179" s="180"/>
      <c r="B179" s="12" t="s">
        <v>34</v>
      </c>
      <c r="C179" s="8" t="s">
        <v>21</v>
      </c>
      <c r="D179" s="130">
        <f>D173/100</f>
        <v>0.36899999999999999</v>
      </c>
      <c r="E179" s="368">
        <v>18000</v>
      </c>
      <c r="F179" s="368">
        <f t="shared" si="8"/>
        <v>6642</v>
      </c>
      <c r="G179" s="400">
        <v>10000</v>
      </c>
      <c r="H179" s="400">
        <f t="shared" si="7"/>
        <v>3690</v>
      </c>
      <c r="I179" s="400">
        <v>30000</v>
      </c>
      <c r="J179" s="400">
        <f t="shared" si="6"/>
        <v>11070</v>
      </c>
    </row>
    <row r="180" spans="1:10" ht="18" customHeight="1">
      <c r="A180" s="180"/>
      <c r="B180" s="12" t="s">
        <v>7</v>
      </c>
      <c r="C180" s="8" t="s">
        <v>21</v>
      </c>
      <c r="D180" s="130">
        <f>+D179*2</f>
        <v>0.73799999999999999</v>
      </c>
      <c r="E180" s="368">
        <v>15000</v>
      </c>
      <c r="F180" s="368">
        <f t="shared" si="8"/>
        <v>11070</v>
      </c>
      <c r="G180" s="400">
        <v>5000</v>
      </c>
      <c r="H180" s="400">
        <f t="shared" si="7"/>
        <v>3690</v>
      </c>
      <c r="I180" s="400">
        <v>10000</v>
      </c>
      <c r="J180" s="400">
        <f t="shared" si="6"/>
        <v>7380</v>
      </c>
    </row>
    <row r="181" spans="1:10" ht="18" customHeight="1">
      <c r="A181" s="155"/>
      <c r="B181" s="7" t="s">
        <v>39</v>
      </c>
      <c r="C181" s="11"/>
      <c r="D181" s="119"/>
      <c r="E181" s="378"/>
      <c r="F181" s="368">
        <f t="shared" si="8"/>
        <v>0</v>
      </c>
      <c r="G181" s="400"/>
      <c r="H181" s="400">
        <f t="shared" si="7"/>
        <v>0</v>
      </c>
      <c r="I181" s="400"/>
      <c r="J181" s="400">
        <f t="shared" si="6"/>
        <v>0</v>
      </c>
    </row>
    <row r="182" spans="1:10" ht="18" customHeight="1">
      <c r="A182" s="155"/>
      <c r="B182" s="7"/>
      <c r="C182" s="11"/>
      <c r="D182" s="116"/>
      <c r="E182" s="378"/>
      <c r="F182" s="368">
        <f t="shared" si="8"/>
        <v>0</v>
      </c>
      <c r="G182" s="400"/>
      <c r="H182" s="400">
        <f t="shared" si="7"/>
        <v>0</v>
      </c>
      <c r="I182" s="400"/>
      <c r="J182" s="400">
        <f t="shared" si="6"/>
        <v>0</v>
      </c>
    </row>
    <row r="183" spans="1:10" s="86" customFormat="1" ht="18" customHeight="1">
      <c r="A183" s="153">
        <v>9</v>
      </c>
      <c r="B183" s="475" t="s">
        <v>72</v>
      </c>
      <c r="C183" s="475"/>
      <c r="D183" s="475"/>
      <c r="E183" s="376"/>
      <c r="F183" s="368">
        <f t="shared" si="8"/>
        <v>0</v>
      </c>
      <c r="G183" s="409"/>
      <c r="H183" s="400">
        <f t="shared" si="7"/>
        <v>0</v>
      </c>
      <c r="I183" s="409"/>
      <c r="J183" s="400">
        <f t="shared" si="6"/>
        <v>0</v>
      </c>
    </row>
    <row r="184" spans="1:10" ht="18" customHeight="1">
      <c r="A184" s="179">
        <v>9.01</v>
      </c>
      <c r="B184" s="15" t="s">
        <v>40</v>
      </c>
      <c r="C184" s="3" t="s">
        <v>1</v>
      </c>
      <c r="D184" s="112">
        <f>(20*3)-(1.89+5.7)</f>
        <v>52.41</v>
      </c>
      <c r="E184" s="371">
        <v>15786.618208214342</v>
      </c>
      <c r="F184" s="367">
        <f t="shared" si="8"/>
        <v>827376.66029251367</v>
      </c>
      <c r="G184" s="403"/>
      <c r="H184" s="403">
        <f t="shared" si="7"/>
        <v>0</v>
      </c>
      <c r="I184" s="403">
        <v>18861.190048479115</v>
      </c>
      <c r="J184" s="403">
        <f t="shared" si="6"/>
        <v>988514.97044079041</v>
      </c>
    </row>
    <row r="185" spans="1:10" ht="18" customHeight="1">
      <c r="A185" s="183"/>
      <c r="B185" s="99"/>
      <c r="C185" s="19" t="s">
        <v>28</v>
      </c>
      <c r="D185" s="130">
        <f>D184*0.2</f>
        <v>10.481999999999999</v>
      </c>
      <c r="E185" s="373">
        <v>78933.091041071719</v>
      </c>
      <c r="F185" s="368">
        <f t="shared" si="8"/>
        <v>827376.66029251367</v>
      </c>
      <c r="G185" s="400"/>
      <c r="H185" s="400">
        <f t="shared" si="7"/>
        <v>0</v>
      </c>
      <c r="I185" s="400">
        <v>94306</v>
      </c>
      <c r="J185" s="400">
        <f t="shared" si="6"/>
        <v>988515.49199999997</v>
      </c>
    </row>
    <row r="186" spans="1:10" ht="18" customHeight="1">
      <c r="A186" s="180"/>
      <c r="B186" s="7" t="s">
        <v>2</v>
      </c>
      <c r="C186" s="8"/>
      <c r="D186" s="113"/>
      <c r="E186" s="368"/>
      <c r="F186" s="368">
        <f t="shared" si="8"/>
        <v>0</v>
      </c>
      <c r="G186" s="400"/>
      <c r="H186" s="400">
        <f t="shared" si="7"/>
        <v>0</v>
      </c>
      <c r="I186" s="400"/>
      <c r="J186" s="400">
        <f t="shared" si="6"/>
        <v>0</v>
      </c>
    </row>
    <row r="187" spans="1:10" ht="18" customHeight="1">
      <c r="A187" s="180"/>
      <c r="B187" s="46" t="s">
        <v>41</v>
      </c>
      <c r="C187" s="8" t="s">
        <v>31</v>
      </c>
      <c r="D187" s="113">
        <f>D185*0.2439*(1/7)*1.54*(1440/50)</f>
        <v>16.198362892800002</v>
      </c>
      <c r="E187" s="368">
        <v>11200</v>
      </c>
      <c r="F187" s="368">
        <f t="shared" si="8"/>
        <v>181421.66439936002</v>
      </c>
      <c r="G187" s="400">
        <v>14000</v>
      </c>
      <c r="H187" s="400">
        <f t="shared" si="7"/>
        <v>226777.08049920003</v>
      </c>
      <c r="I187" s="400">
        <v>13500</v>
      </c>
      <c r="J187" s="400">
        <f t="shared" si="6"/>
        <v>218677.89905280003</v>
      </c>
    </row>
    <row r="188" spans="1:10" ht="18" customHeight="1">
      <c r="A188" s="180"/>
      <c r="B188" s="46" t="s">
        <v>42</v>
      </c>
      <c r="C188" s="8" t="s">
        <v>28</v>
      </c>
      <c r="D188" s="113">
        <f>D185*0.2439*(6/7)*1.54</f>
        <v>3.3746589360000003</v>
      </c>
      <c r="E188" s="368">
        <v>30500</v>
      </c>
      <c r="F188" s="368">
        <f t="shared" si="8"/>
        <v>102927.09754800001</v>
      </c>
      <c r="G188" s="400">
        <v>28000</v>
      </c>
      <c r="H188" s="400">
        <f t="shared" si="7"/>
        <v>94490.450208000009</v>
      </c>
      <c r="I188" s="400">
        <v>40000</v>
      </c>
      <c r="J188" s="400">
        <f t="shared" si="6"/>
        <v>134986.35744000002</v>
      </c>
    </row>
    <row r="189" spans="1:10" ht="18" customHeight="1">
      <c r="A189" s="180"/>
      <c r="B189" s="46" t="s">
        <v>43</v>
      </c>
      <c r="C189" s="8" t="s">
        <v>44</v>
      </c>
      <c r="D189" s="113">
        <f>D185*1.15/(0.235*0.1125*0.075)</f>
        <v>6079.3947990543729</v>
      </c>
      <c r="E189" s="368">
        <v>58</v>
      </c>
      <c r="F189" s="368">
        <f t="shared" si="8"/>
        <v>352604.8983451536</v>
      </c>
      <c r="G189" s="400">
        <v>70</v>
      </c>
      <c r="H189" s="400">
        <f t="shared" si="7"/>
        <v>425557.63593380613</v>
      </c>
      <c r="I189" s="400">
        <v>55</v>
      </c>
      <c r="J189" s="400">
        <f t="shared" si="6"/>
        <v>334366.7139479905</v>
      </c>
    </row>
    <row r="190" spans="1:10" ht="18" customHeight="1">
      <c r="A190" s="155"/>
      <c r="B190" s="57" t="s">
        <v>5</v>
      </c>
      <c r="C190" s="11"/>
      <c r="D190" s="116"/>
      <c r="E190" s="378"/>
      <c r="F190" s="368">
        <f t="shared" si="8"/>
        <v>0</v>
      </c>
      <c r="G190" s="400"/>
      <c r="H190" s="400">
        <f t="shared" si="7"/>
        <v>0</v>
      </c>
      <c r="I190" s="400"/>
      <c r="J190" s="400">
        <f t="shared" si="6"/>
        <v>0</v>
      </c>
    </row>
    <row r="191" spans="1:10" ht="18" customHeight="1">
      <c r="A191" s="180"/>
      <c r="B191" s="46"/>
      <c r="C191" s="8"/>
      <c r="D191" s="113"/>
      <c r="E191" s="368"/>
      <c r="F191" s="368">
        <f t="shared" si="8"/>
        <v>0</v>
      </c>
      <c r="G191" s="400"/>
      <c r="H191" s="400">
        <f t="shared" si="7"/>
        <v>0</v>
      </c>
      <c r="I191" s="400"/>
      <c r="J191" s="400">
        <f t="shared" si="6"/>
        <v>0</v>
      </c>
    </row>
    <row r="192" spans="1:10" ht="18" customHeight="1">
      <c r="A192" s="180"/>
      <c r="B192" s="7" t="s">
        <v>6</v>
      </c>
      <c r="C192" s="8"/>
      <c r="D192" s="113"/>
      <c r="E192" s="368"/>
      <c r="F192" s="368">
        <f t="shared" si="8"/>
        <v>0</v>
      </c>
      <c r="G192" s="400"/>
      <c r="H192" s="400">
        <f t="shared" si="7"/>
        <v>0</v>
      </c>
      <c r="I192" s="400"/>
      <c r="J192" s="400">
        <f t="shared" si="6"/>
        <v>0</v>
      </c>
    </row>
    <row r="193" spans="1:10" ht="18" customHeight="1">
      <c r="A193" s="180"/>
      <c r="B193" s="12" t="s">
        <v>34</v>
      </c>
      <c r="C193" s="8" t="s">
        <v>8</v>
      </c>
      <c r="D193" s="113">
        <f>D185/1</f>
        <v>10.481999999999999</v>
      </c>
      <c r="E193" s="368">
        <v>6500</v>
      </c>
      <c r="F193" s="368">
        <f t="shared" si="8"/>
        <v>68133</v>
      </c>
      <c r="G193" s="400">
        <v>10000</v>
      </c>
      <c r="H193" s="400">
        <f t="shared" si="7"/>
        <v>104820</v>
      </c>
      <c r="I193" s="400">
        <v>12000</v>
      </c>
      <c r="J193" s="400">
        <f t="shared" si="6"/>
        <v>125783.99999999999</v>
      </c>
    </row>
    <row r="194" spans="1:10" ht="18" customHeight="1">
      <c r="A194" s="180"/>
      <c r="B194" s="12" t="s">
        <v>7</v>
      </c>
      <c r="C194" s="8" t="s">
        <v>8</v>
      </c>
      <c r="D194" s="113">
        <f>(D185/1.2)*4</f>
        <v>34.94</v>
      </c>
      <c r="E194" s="368">
        <v>3500</v>
      </c>
      <c r="F194" s="368">
        <f t="shared" si="8"/>
        <v>122289.99999999999</v>
      </c>
      <c r="G194" s="400">
        <v>5000</v>
      </c>
      <c r="H194" s="400">
        <f t="shared" si="7"/>
        <v>174700</v>
      </c>
      <c r="I194" s="400">
        <v>5000</v>
      </c>
      <c r="J194" s="400">
        <f t="shared" si="6"/>
        <v>174700</v>
      </c>
    </row>
    <row r="195" spans="1:10" ht="18" customHeight="1">
      <c r="A195" s="159"/>
      <c r="B195" s="57" t="s">
        <v>9</v>
      </c>
      <c r="C195" s="58"/>
      <c r="D195" s="115"/>
      <c r="E195" s="369"/>
      <c r="F195" s="368">
        <f t="shared" si="8"/>
        <v>0</v>
      </c>
      <c r="G195" s="400"/>
      <c r="H195" s="400">
        <f t="shared" si="7"/>
        <v>0</v>
      </c>
      <c r="I195" s="400"/>
      <c r="J195" s="400">
        <f t="shared" si="6"/>
        <v>0</v>
      </c>
    </row>
    <row r="196" spans="1:10" ht="18" customHeight="1">
      <c r="A196" s="159"/>
      <c r="B196" s="57"/>
      <c r="C196" s="58"/>
      <c r="D196" s="115"/>
      <c r="E196" s="369"/>
      <c r="F196" s="368">
        <f t="shared" si="8"/>
        <v>0</v>
      </c>
      <c r="G196" s="400"/>
      <c r="H196" s="400">
        <f t="shared" si="7"/>
        <v>0</v>
      </c>
      <c r="I196" s="400"/>
      <c r="J196" s="400">
        <f t="shared" si="6"/>
        <v>0</v>
      </c>
    </row>
    <row r="197" spans="1:10" s="86" customFormat="1" ht="18" customHeight="1">
      <c r="A197" s="159">
        <v>10</v>
      </c>
      <c r="B197" s="467" t="s">
        <v>79</v>
      </c>
      <c r="C197" s="467"/>
      <c r="D197" s="467"/>
      <c r="E197" s="372"/>
      <c r="F197" s="368">
        <f t="shared" si="8"/>
        <v>0</v>
      </c>
      <c r="G197" s="409"/>
      <c r="H197" s="400">
        <f t="shared" si="7"/>
        <v>0</v>
      </c>
      <c r="I197" s="409"/>
      <c r="J197" s="400">
        <f t="shared" ref="J197:J260" si="9">D197*I197</f>
        <v>0</v>
      </c>
    </row>
    <row r="198" spans="1:10" ht="19.5">
      <c r="A198" s="179">
        <v>10.01</v>
      </c>
      <c r="B198" s="2" t="s">
        <v>74</v>
      </c>
      <c r="C198" s="14" t="s">
        <v>45</v>
      </c>
      <c r="D198" s="160">
        <f>3.5*0.25*0.2</f>
        <v>0.17500000000000002</v>
      </c>
      <c r="E198" s="371">
        <v>176677.80673635309</v>
      </c>
      <c r="F198" s="367">
        <f t="shared" si="8"/>
        <v>30918.616178861794</v>
      </c>
      <c r="G198" s="403"/>
      <c r="H198" s="403">
        <f t="shared" si="7"/>
        <v>0</v>
      </c>
      <c r="I198" s="403">
        <v>300000</v>
      </c>
      <c r="J198" s="403">
        <f t="shared" si="9"/>
        <v>52500.000000000007</v>
      </c>
    </row>
    <row r="199" spans="1:10" ht="19.5">
      <c r="A199" s="214"/>
      <c r="B199" s="161" t="s">
        <v>29</v>
      </c>
      <c r="C199" s="162"/>
      <c r="D199" s="163"/>
      <c r="E199" s="379"/>
      <c r="F199" s="368">
        <f t="shared" si="8"/>
        <v>0</v>
      </c>
      <c r="G199" s="400"/>
      <c r="H199" s="400">
        <f t="shared" ref="H199:H262" si="10">D199*G199</f>
        <v>0</v>
      </c>
      <c r="I199" s="400">
        <v>48312</v>
      </c>
      <c r="J199" s="400">
        <f t="shared" si="9"/>
        <v>0</v>
      </c>
    </row>
    <row r="200" spans="1:10" ht="19.5">
      <c r="A200" s="214"/>
      <c r="B200" s="164" t="s">
        <v>14</v>
      </c>
      <c r="C200" s="17" t="s">
        <v>45</v>
      </c>
      <c r="D200" s="163">
        <f>D198*(4/7)*1.57</f>
        <v>0.15700000000000003</v>
      </c>
      <c r="E200" s="379">
        <v>48000</v>
      </c>
      <c r="F200" s="368">
        <f t="shared" ref="F200:F263" si="11">D200*E200</f>
        <v>7536.0000000000018</v>
      </c>
      <c r="G200" s="400">
        <v>27000</v>
      </c>
      <c r="H200" s="400">
        <f t="shared" si="10"/>
        <v>4239.0000000000009</v>
      </c>
      <c r="I200" s="400">
        <v>40000</v>
      </c>
      <c r="J200" s="400">
        <f t="shared" si="9"/>
        <v>6280.0000000000009</v>
      </c>
    </row>
    <row r="201" spans="1:10" ht="19.5">
      <c r="A201" s="214"/>
      <c r="B201" s="164" t="s">
        <v>13</v>
      </c>
      <c r="C201" s="17" t="s">
        <v>45</v>
      </c>
      <c r="D201" s="163">
        <f>D198*(2/7)*1.54</f>
        <v>7.7000000000000013E-2</v>
      </c>
      <c r="E201" s="379">
        <v>36500</v>
      </c>
      <c r="F201" s="368">
        <f t="shared" si="11"/>
        <v>2810.5000000000005</v>
      </c>
      <c r="G201" s="400">
        <v>25000</v>
      </c>
      <c r="H201" s="400">
        <f t="shared" si="10"/>
        <v>1925.0000000000002</v>
      </c>
      <c r="I201" s="400">
        <v>13500</v>
      </c>
      <c r="J201" s="400">
        <f t="shared" si="9"/>
        <v>1039.5000000000002</v>
      </c>
    </row>
    <row r="202" spans="1:10" ht="19.5">
      <c r="A202" s="214"/>
      <c r="B202" s="164" t="s">
        <v>11</v>
      </c>
      <c r="C202" s="162" t="s">
        <v>12</v>
      </c>
      <c r="D202" s="163">
        <f>D198*(1/7)*1.57*(1440/50)</f>
        <v>1.1304000000000003</v>
      </c>
      <c r="E202" s="379">
        <v>11200</v>
      </c>
      <c r="F202" s="368">
        <f t="shared" si="11"/>
        <v>12660.480000000003</v>
      </c>
      <c r="G202" s="400">
        <v>14000</v>
      </c>
      <c r="H202" s="400">
        <f t="shared" si="10"/>
        <v>15825.600000000004</v>
      </c>
      <c r="I202" s="400">
        <v>2000</v>
      </c>
      <c r="J202" s="400">
        <f t="shared" si="9"/>
        <v>2260.8000000000006</v>
      </c>
    </row>
    <row r="203" spans="1:10" ht="19.5">
      <c r="A203" s="186"/>
      <c r="B203" s="98" t="s">
        <v>15</v>
      </c>
      <c r="C203" s="53" t="s">
        <v>16</v>
      </c>
      <c r="D203" s="130">
        <f>D208*10</f>
        <v>0.29166666666666669</v>
      </c>
      <c r="E203" s="377">
        <v>2200</v>
      </c>
      <c r="F203" s="368">
        <f t="shared" si="11"/>
        <v>641.66666666666674</v>
      </c>
      <c r="G203" s="400">
        <v>2000</v>
      </c>
      <c r="H203" s="400">
        <f t="shared" si="10"/>
        <v>583.33333333333337</v>
      </c>
      <c r="I203" s="400">
        <v>3000</v>
      </c>
      <c r="J203" s="400">
        <f t="shared" si="9"/>
        <v>875</v>
      </c>
    </row>
    <row r="204" spans="1:10" ht="19.5">
      <c r="A204" s="186"/>
      <c r="B204" s="98" t="s">
        <v>17</v>
      </c>
      <c r="C204" s="53" t="s">
        <v>16</v>
      </c>
      <c r="D204" s="130">
        <f>D209*5</f>
        <v>0.14583333333333334</v>
      </c>
      <c r="E204" s="377">
        <v>1900</v>
      </c>
      <c r="F204" s="368">
        <f t="shared" si="11"/>
        <v>277.08333333333337</v>
      </c>
      <c r="G204" s="400">
        <v>2500</v>
      </c>
      <c r="H204" s="400">
        <f t="shared" si="10"/>
        <v>364.58333333333337</v>
      </c>
      <c r="I204" s="400"/>
      <c r="J204" s="400">
        <f t="shared" si="9"/>
        <v>0</v>
      </c>
    </row>
    <row r="205" spans="1:10" ht="19.5">
      <c r="A205" s="214"/>
      <c r="B205" s="161" t="s">
        <v>5</v>
      </c>
      <c r="C205" s="162"/>
      <c r="D205" s="163"/>
      <c r="E205" s="385"/>
      <c r="F205" s="368">
        <f t="shared" si="11"/>
        <v>0</v>
      </c>
      <c r="G205" s="400"/>
      <c r="H205" s="400">
        <f t="shared" si="10"/>
        <v>0</v>
      </c>
      <c r="I205" s="400"/>
      <c r="J205" s="400">
        <f t="shared" si="9"/>
        <v>0</v>
      </c>
    </row>
    <row r="206" spans="1:10" ht="19.5">
      <c r="A206" s="214"/>
      <c r="B206" s="164"/>
      <c r="C206" s="162"/>
      <c r="D206" s="163"/>
      <c r="E206" s="379"/>
      <c r="F206" s="368">
        <f t="shared" si="11"/>
        <v>0</v>
      </c>
      <c r="G206" s="400"/>
      <c r="H206" s="400">
        <f t="shared" si="10"/>
        <v>0</v>
      </c>
      <c r="I206" s="400"/>
      <c r="J206" s="400">
        <f t="shared" si="9"/>
        <v>0</v>
      </c>
    </row>
    <row r="207" spans="1:10" ht="19.5">
      <c r="A207" s="186"/>
      <c r="B207" s="97" t="s">
        <v>19</v>
      </c>
      <c r="C207" s="53"/>
      <c r="D207" s="130"/>
      <c r="E207" s="377"/>
      <c r="F207" s="368">
        <f t="shared" si="11"/>
        <v>0</v>
      </c>
      <c r="G207" s="400"/>
      <c r="H207" s="400">
        <f t="shared" si="10"/>
        <v>0</v>
      </c>
      <c r="I207" s="400">
        <v>80000</v>
      </c>
      <c r="J207" s="400">
        <f t="shared" si="9"/>
        <v>0</v>
      </c>
    </row>
    <row r="208" spans="1:10" ht="19.5">
      <c r="A208" s="186"/>
      <c r="B208" s="98" t="s">
        <v>20</v>
      </c>
      <c r="C208" s="53" t="s">
        <v>21</v>
      </c>
      <c r="D208" s="130">
        <f>D198/6</f>
        <v>2.9166666666666671E-2</v>
      </c>
      <c r="E208" s="377">
        <v>65000</v>
      </c>
      <c r="F208" s="368">
        <f t="shared" si="11"/>
        <v>1895.8333333333335</v>
      </c>
      <c r="G208" s="400">
        <v>50000</v>
      </c>
      <c r="H208" s="400">
        <f t="shared" si="10"/>
        <v>1458.3333333333335</v>
      </c>
      <c r="I208" s="400">
        <v>40000</v>
      </c>
      <c r="J208" s="400">
        <f t="shared" si="9"/>
        <v>1166.6666666666667</v>
      </c>
    </row>
    <row r="209" spans="1:10" ht="19.5">
      <c r="A209" s="186"/>
      <c r="B209" s="98" t="s">
        <v>22</v>
      </c>
      <c r="C209" s="53" t="s">
        <v>21</v>
      </c>
      <c r="D209" s="130">
        <f>D198/6</f>
        <v>2.9166666666666671E-2</v>
      </c>
      <c r="E209" s="377">
        <v>65000</v>
      </c>
      <c r="F209" s="368">
        <f t="shared" si="11"/>
        <v>1895.8333333333335</v>
      </c>
      <c r="G209" s="400">
        <v>50000</v>
      </c>
      <c r="H209" s="400">
        <f t="shared" si="10"/>
        <v>1458.3333333333335</v>
      </c>
      <c r="I209" s="400"/>
      <c r="J209" s="400">
        <f t="shared" si="9"/>
        <v>0</v>
      </c>
    </row>
    <row r="210" spans="1:10" ht="19.5">
      <c r="A210" s="187"/>
      <c r="B210" s="97" t="s">
        <v>23</v>
      </c>
      <c r="C210" s="54"/>
      <c r="D210" s="119"/>
      <c r="E210" s="384"/>
      <c r="F210" s="368">
        <f t="shared" si="11"/>
        <v>0</v>
      </c>
      <c r="G210" s="400"/>
      <c r="H210" s="400">
        <f t="shared" si="10"/>
        <v>0</v>
      </c>
      <c r="I210" s="400"/>
      <c r="J210" s="400">
        <f t="shared" si="9"/>
        <v>0</v>
      </c>
    </row>
    <row r="211" spans="1:10" ht="19.5">
      <c r="A211" s="187"/>
      <c r="B211" s="97"/>
      <c r="C211" s="54"/>
      <c r="D211" s="119"/>
      <c r="E211" s="384"/>
      <c r="F211" s="368">
        <f t="shared" si="11"/>
        <v>0</v>
      </c>
      <c r="G211" s="400"/>
      <c r="H211" s="400">
        <f t="shared" si="10"/>
        <v>0</v>
      </c>
      <c r="I211" s="400"/>
      <c r="J211" s="400">
        <f t="shared" si="9"/>
        <v>0</v>
      </c>
    </row>
    <row r="212" spans="1:10" ht="19.5">
      <c r="A212" s="217"/>
      <c r="B212" s="161" t="s">
        <v>33</v>
      </c>
      <c r="C212" s="162"/>
      <c r="D212" s="163"/>
      <c r="E212" s="379"/>
      <c r="F212" s="368">
        <f t="shared" si="11"/>
        <v>0</v>
      </c>
      <c r="G212" s="400"/>
      <c r="H212" s="400">
        <f t="shared" si="10"/>
        <v>0</v>
      </c>
      <c r="I212" s="400">
        <v>56676</v>
      </c>
      <c r="J212" s="400">
        <f t="shared" si="9"/>
        <v>0</v>
      </c>
    </row>
    <row r="213" spans="1:10" ht="19.5">
      <c r="A213" s="217"/>
      <c r="B213" s="164" t="s">
        <v>34</v>
      </c>
      <c r="C213" s="162" t="s">
        <v>21</v>
      </c>
      <c r="D213" s="163">
        <f>D198/1.64</f>
        <v>0.10670731707317074</v>
      </c>
      <c r="E213" s="379">
        <v>11000</v>
      </c>
      <c r="F213" s="368">
        <f t="shared" si="11"/>
        <v>1173.7804878048782</v>
      </c>
      <c r="G213" s="400">
        <v>10000</v>
      </c>
      <c r="H213" s="400">
        <f t="shared" si="10"/>
        <v>1067.0731707317075</v>
      </c>
      <c r="I213" s="400">
        <v>75000</v>
      </c>
      <c r="J213" s="400">
        <f t="shared" si="9"/>
        <v>8003.0487804878057</v>
      </c>
    </row>
    <row r="214" spans="1:10" ht="19.5">
      <c r="A214" s="217"/>
      <c r="B214" s="164" t="s">
        <v>7</v>
      </c>
      <c r="C214" s="162" t="s">
        <v>21</v>
      </c>
      <c r="D214" s="163">
        <f>+D213*2</f>
        <v>0.21341463414634149</v>
      </c>
      <c r="E214" s="379">
        <v>9500</v>
      </c>
      <c r="F214" s="368">
        <f t="shared" si="11"/>
        <v>2027.4390243902442</v>
      </c>
      <c r="G214" s="400">
        <v>5000</v>
      </c>
      <c r="H214" s="400">
        <f t="shared" si="10"/>
        <v>1067.0731707317075</v>
      </c>
      <c r="I214" s="400"/>
      <c r="J214" s="400">
        <f t="shared" si="9"/>
        <v>0</v>
      </c>
    </row>
    <row r="215" spans="1:10" s="60" customFormat="1" ht="19.5">
      <c r="A215" s="169"/>
      <c r="B215" s="161" t="s">
        <v>119</v>
      </c>
      <c r="C215" s="167"/>
      <c r="D215" s="168"/>
      <c r="E215" s="385"/>
      <c r="F215" s="368">
        <f t="shared" si="11"/>
        <v>0</v>
      </c>
      <c r="G215" s="407"/>
      <c r="H215" s="400">
        <f t="shared" si="10"/>
        <v>0</v>
      </c>
      <c r="I215" s="407"/>
      <c r="J215" s="400">
        <f t="shared" si="9"/>
        <v>0</v>
      </c>
    </row>
    <row r="216" spans="1:10" ht="19.5">
      <c r="A216" s="217"/>
      <c r="B216" s="164"/>
      <c r="C216" s="162"/>
      <c r="D216" s="163"/>
      <c r="E216" s="379"/>
      <c r="F216" s="368">
        <f t="shared" si="11"/>
        <v>0</v>
      </c>
      <c r="G216" s="400"/>
      <c r="H216" s="400">
        <f t="shared" si="10"/>
        <v>0</v>
      </c>
      <c r="I216" s="400"/>
      <c r="J216" s="400">
        <f t="shared" si="9"/>
        <v>0</v>
      </c>
    </row>
    <row r="217" spans="1:10" s="60" customFormat="1" ht="19.5">
      <c r="A217" s="169">
        <v>11</v>
      </c>
      <c r="B217" s="468" t="s">
        <v>76</v>
      </c>
      <c r="C217" s="468"/>
      <c r="D217" s="468"/>
      <c r="E217" s="372"/>
      <c r="F217" s="368">
        <f t="shared" si="11"/>
        <v>0</v>
      </c>
      <c r="G217" s="407"/>
      <c r="H217" s="400">
        <f t="shared" si="10"/>
        <v>0</v>
      </c>
      <c r="I217" s="407"/>
      <c r="J217" s="400">
        <f t="shared" si="9"/>
        <v>0</v>
      </c>
    </row>
    <row r="218" spans="1:10" ht="19.5">
      <c r="A218" s="179">
        <v>11.01</v>
      </c>
      <c r="B218" s="95" t="s">
        <v>75</v>
      </c>
      <c r="C218" s="39" t="s">
        <v>36</v>
      </c>
      <c r="D218" s="112">
        <v>25</v>
      </c>
      <c r="E218" s="380">
        <v>10360.44</v>
      </c>
      <c r="F218" s="367">
        <f t="shared" si="11"/>
        <v>259011</v>
      </c>
      <c r="G218" s="403"/>
      <c r="H218" s="403">
        <f t="shared" si="10"/>
        <v>0</v>
      </c>
      <c r="I218" s="403">
        <v>13750.015589743587</v>
      </c>
      <c r="J218" s="403">
        <f t="shared" si="9"/>
        <v>343750.38974358968</v>
      </c>
    </row>
    <row r="219" spans="1:10" ht="19.5">
      <c r="A219" s="183"/>
      <c r="B219" s="18"/>
      <c r="C219" s="19"/>
      <c r="D219" s="130">
        <f>D218*0.05</f>
        <v>1.25</v>
      </c>
      <c r="E219" s="373"/>
      <c r="F219" s="368">
        <f t="shared" si="11"/>
        <v>0</v>
      </c>
      <c r="G219" s="400"/>
      <c r="H219" s="400">
        <f t="shared" si="10"/>
        <v>0</v>
      </c>
      <c r="I219" s="400">
        <v>200000</v>
      </c>
      <c r="J219" s="400">
        <f t="shared" si="9"/>
        <v>250000</v>
      </c>
    </row>
    <row r="220" spans="1:10" ht="19.5">
      <c r="A220" s="184"/>
      <c r="B220" s="93" t="s">
        <v>2</v>
      </c>
      <c r="C220" s="22"/>
      <c r="D220" s="113"/>
      <c r="E220" s="374"/>
      <c r="F220" s="368">
        <f t="shared" si="11"/>
        <v>0</v>
      </c>
      <c r="G220" s="400"/>
      <c r="H220" s="400">
        <f t="shared" si="10"/>
        <v>0</v>
      </c>
      <c r="I220" s="400"/>
      <c r="J220" s="400">
        <f t="shared" si="9"/>
        <v>0</v>
      </c>
    </row>
    <row r="221" spans="1:10" ht="19.5">
      <c r="A221" s="181"/>
      <c r="B221" s="12" t="s">
        <v>30</v>
      </c>
      <c r="C221" s="8" t="s">
        <v>28</v>
      </c>
      <c r="D221" s="113">
        <f>D218*0.1*1.5</f>
        <v>3.75</v>
      </c>
      <c r="E221" s="368">
        <v>22500</v>
      </c>
      <c r="F221" s="368">
        <f t="shared" si="11"/>
        <v>84375</v>
      </c>
      <c r="G221" s="400">
        <v>15000</v>
      </c>
      <c r="H221" s="400">
        <f t="shared" si="10"/>
        <v>56250</v>
      </c>
      <c r="I221" s="400">
        <v>25000</v>
      </c>
      <c r="J221" s="400">
        <f t="shared" si="9"/>
        <v>93750</v>
      </c>
    </row>
    <row r="222" spans="1:10" ht="19.5">
      <c r="A222" s="184"/>
      <c r="B222" s="94" t="s">
        <v>11</v>
      </c>
      <c r="C222" s="22" t="s">
        <v>12</v>
      </c>
      <c r="D222" s="113">
        <f>D219*(1/13)*1.57*(1440/50)</f>
        <v>4.3476923076923084</v>
      </c>
      <c r="E222" s="374">
        <v>11200</v>
      </c>
      <c r="F222" s="368">
        <f t="shared" si="11"/>
        <v>48694.153846153851</v>
      </c>
      <c r="G222" s="400">
        <v>14000</v>
      </c>
      <c r="H222" s="400">
        <f t="shared" si="10"/>
        <v>60867.692307692319</v>
      </c>
      <c r="I222" s="400">
        <v>13500</v>
      </c>
      <c r="J222" s="400">
        <f t="shared" si="9"/>
        <v>58693.846153846163</v>
      </c>
    </row>
    <row r="223" spans="1:10" ht="19.5">
      <c r="A223" s="184"/>
      <c r="B223" s="94" t="s">
        <v>13</v>
      </c>
      <c r="C223" s="22" t="s">
        <v>10</v>
      </c>
      <c r="D223" s="113">
        <f>D219*(4/13)*1.57</f>
        <v>0.60384615384615392</v>
      </c>
      <c r="E223" s="374">
        <v>36500</v>
      </c>
      <c r="F223" s="368">
        <f t="shared" si="11"/>
        <v>22040.384615384617</v>
      </c>
      <c r="G223" s="400">
        <v>25000</v>
      </c>
      <c r="H223" s="400">
        <f t="shared" si="10"/>
        <v>15096.153846153848</v>
      </c>
      <c r="I223" s="400">
        <v>40000</v>
      </c>
      <c r="J223" s="400">
        <f t="shared" si="9"/>
        <v>24153.846153846156</v>
      </c>
    </row>
    <row r="224" spans="1:10" ht="19.5">
      <c r="A224" s="184"/>
      <c r="B224" s="94" t="s">
        <v>14</v>
      </c>
      <c r="C224" s="22" t="s">
        <v>10</v>
      </c>
      <c r="D224" s="113">
        <f>D219*(8/13)*1.57</f>
        <v>1.2076923076923078</v>
      </c>
      <c r="E224" s="374">
        <v>43500</v>
      </c>
      <c r="F224" s="368">
        <f t="shared" si="11"/>
        <v>52534.61538461539</v>
      </c>
      <c r="G224" s="400">
        <v>27000</v>
      </c>
      <c r="H224" s="400">
        <f t="shared" si="10"/>
        <v>32607.692307692312</v>
      </c>
      <c r="I224" s="400">
        <v>48312</v>
      </c>
      <c r="J224" s="400">
        <f t="shared" si="9"/>
        <v>58346.030769230776</v>
      </c>
    </row>
    <row r="225" spans="1:10" ht="19.5">
      <c r="A225" s="153"/>
      <c r="B225" s="93" t="s">
        <v>18</v>
      </c>
      <c r="C225" s="27"/>
      <c r="D225" s="116"/>
      <c r="E225" s="381"/>
      <c r="F225" s="368">
        <f t="shared" si="11"/>
        <v>0</v>
      </c>
      <c r="G225" s="400"/>
      <c r="H225" s="400">
        <f t="shared" si="10"/>
        <v>0</v>
      </c>
      <c r="I225" s="400"/>
      <c r="J225" s="400">
        <f t="shared" si="9"/>
        <v>0</v>
      </c>
    </row>
    <row r="226" spans="1:10" ht="19.5">
      <c r="A226" s="153"/>
      <c r="B226" s="93"/>
      <c r="C226" s="27"/>
      <c r="D226" s="116"/>
      <c r="E226" s="381"/>
      <c r="F226" s="368">
        <f t="shared" si="11"/>
        <v>0</v>
      </c>
      <c r="G226" s="400"/>
      <c r="H226" s="400">
        <f t="shared" si="10"/>
        <v>0</v>
      </c>
      <c r="I226" s="400"/>
      <c r="J226" s="400">
        <f t="shared" si="9"/>
        <v>0</v>
      </c>
    </row>
    <row r="227" spans="1:10" ht="19.5">
      <c r="A227" s="186"/>
      <c r="B227" s="97" t="s">
        <v>19</v>
      </c>
      <c r="C227" s="53"/>
      <c r="D227" s="130"/>
      <c r="E227" s="377"/>
      <c r="F227" s="368">
        <f t="shared" si="11"/>
        <v>0</v>
      </c>
      <c r="G227" s="400"/>
      <c r="H227" s="400">
        <f t="shared" si="10"/>
        <v>0</v>
      </c>
      <c r="I227" s="400"/>
      <c r="J227" s="400">
        <f t="shared" si="9"/>
        <v>0</v>
      </c>
    </row>
    <row r="228" spans="1:10" ht="19.5">
      <c r="A228" s="186"/>
      <c r="B228" s="98" t="s">
        <v>20</v>
      </c>
      <c r="C228" s="53" t="s">
        <v>21</v>
      </c>
      <c r="D228" s="130">
        <f>D214/6</f>
        <v>3.5569105691056917E-2</v>
      </c>
      <c r="E228" s="377">
        <v>8500</v>
      </c>
      <c r="F228" s="368">
        <f t="shared" si="11"/>
        <v>302.33739837398377</v>
      </c>
      <c r="G228" s="400">
        <v>50000</v>
      </c>
      <c r="H228" s="400">
        <f t="shared" si="10"/>
        <v>1778.4552845528458</v>
      </c>
      <c r="I228" s="400">
        <v>80000</v>
      </c>
      <c r="J228" s="400">
        <f t="shared" si="9"/>
        <v>2845.5284552845533</v>
      </c>
    </row>
    <row r="229" spans="1:10" ht="19.5">
      <c r="A229" s="186"/>
      <c r="B229" s="98" t="s">
        <v>22</v>
      </c>
      <c r="C229" s="53" t="s">
        <v>21</v>
      </c>
      <c r="D229" s="130">
        <f>D214/6</f>
        <v>3.5569105691056917E-2</v>
      </c>
      <c r="E229" s="377">
        <v>6500</v>
      </c>
      <c r="F229" s="368">
        <f t="shared" si="11"/>
        <v>231.19918699186996</v>
      </c>
      <c r="G229" s="400">
        <v>50000</v>
      </c>
      <c r="H229" s="400">
        <f t="shared" si="10"/>
        <v>1778.4552845528458</v>
      </c>
      <c r="I229" s="400">
        <v>40000</v>
      </c>
      <c r="J229" s="400">
        <f t="shared" si="9"/>
        <v>1422.7642276422766</v>
      </c>
    </row>
    <row r="230" spans="1:10" ht="19.5">
      <c r="A230" s="187"/>
      <c r="B230" s="97" t="s">
        <v>23</v>
      </c>
      <c r="C230" s="54"/>
      <c r="D230" s="119"/>
      <c r="E230" s="384"/>
      <c r="F230" s="368">
        <f t="shared" si="11"/>
        <v>0</v>
      </c>
      <c r="G230" s="400"/>
      <c r="H230" s="400">
        <f t="shared" si="10"/>
        <v>0</v>
      </c>
      <c r="I230" s="400"/>
      <c r="J230" s="400">
        <f t="shared" si="9"/>
        <v>0</v>
      </c>
    </row>
    <row r="231" spans="1:10" ht="19.5">
      <c r="A231" s="186"/>
      <c r="B231" s="98"/>
      <c r="C231" s="53"/>
      <c r="D231" s="130"/>
      <c r="E231" s="377"/>
      <c r="F231" s="368">
        <f t="shared" si="11"/>
        <v>0</v>
      </c>
      <c r="G231" s="400"/>
      <c r="H231" s="400">
        <f t="shared" si="10"/>
        <v>0</v>
      </c>
      <c r="I231" s="400"/>
      <c r="J231" s="400">
        <f t="shared" si="9"/>
        <v>0</v>
      </c>
    </row>
    <row r="232" spans="1:10" ht="19.5">
      <c r="A232" s="184"/>
      <c r="B232" s="93" t="s">
        <v>6</v>
      </c>
      <c r="C232" s="22"/>
      <c r="D232" s="113"/>
      <c r="E232" s="374"/>
      <c r="F232" s="368">
        <f t="shared" si="11"/>
        <v>0</v>
      </c>
      <c r="G232" s="400"/>
      <c r="H232" s="400">
        <f t="shared" si="10"/>
        <v>0</v>
      </c>
      <c r="I232" s="400"/>
      <c r="J232" s="400">
        <f t="shared" si="9"/>
        <v>0</v>
      </c>
    </row>
    <row r="233" spans="1:10" ht="19.5">
      <c r="A233" s="184"/>
      <c r="B233" s="94" t="s">
        <v>24</v>
      </c>
      <c r="C233" s="22" t="s">
        <v>21</v>
      </c>
      <c r="D233" s="113">
        <f>(D219/6)*2</f>
        <v>0.41666666666666669</v>
      </c>
      <c r="E233" s="374">
        <v>18500</v>
      </c>
      <c r="F233" s="368">
        <f t="shared" si="11"/>
        <v>7708.3333333333339</v>
      </c>
      <c r="G233" s="400">
        <v>10000</v>
      </c>
      <c r="H233" s="400">
        <f t="shared" si="10"/>
        <v>4166.666666666667</v>
      </c>
      <c r="I233" s="400">
        <v>80000</v>
      </c>
      <c r="J233" s="400">
        <f t="shared" si="9"/>
        <v>33333.333333333336</v>
      </c>
    </row>
    <row r="234" spans="1:10" ht="19.5">
      <c r="A234" s="184"/>
      <c r="B234" s="94" t="s">
        <v>25</v>
      </c>
      <c r="C234" s="22" t="s">
        <v>21</v>
      </c>
      <c r="D234" s="113">
        <f>(D219/6)*18</f>
        <v>3.75</v>
      </c>
      <c r="E234" s="374">
        <v>11500</v>
      </c>
      <c r="F234" s="368">
        <f t="shared" si="11"/>
        <v>43125</v>
      </c>
      <c r="G234" s="400">
        <v>10000</v>
      </c>
      <c r="H234" s="400">
        <f t="shared" si="10"/>
        <v>37500</v>
      </c>
      <c r="I234" s="400">
        <v>18988</v>
      </c>
      <c r="J234" s="400">
        <f t="shared" si="9"/>
        <v>71205</v>
      </c>
    </row>
    <row r="235" spans="1:10" ht="19.5">
      <c r="A235" s="153"/>
      <c r="B235" s="93" t="s">
        <v>27</v>
      </c>
      <c r="C235" s="27"/>
      <c r="D235" s="116"/>
      <c r="E235" s="381"/>
      <c r="F235" s="368">
        <f t="shared" si="11"/>
        <v>0</v>
      </c>
      <c r="G235" s="400"/>
      <c r="H235" s="400">
        <f t="shared" si="10"/>
        <v>0</v>
      </c>
      <c r="I235" s="400"/>
      <c r="J235" s="400">
        <f t="shared" si="9"/>
        <v>0</v>
      </c>
    </row>
    <row r="236" spans="1:10" ht="19.5">
      <c r="A236" s="184"/>
      <c r="B236" s="94"/>
      <c r="C236" s="22"/>
      <c r="D236" s="113"/>
      <c r="E236" s="374"/>
      <c r="F236" s="368">
        <f t="shared" si="11"/>
        <v>0</v>
      </c>
      <c r="G236" s="400"/>
      <c r="H236" s="400">
        <f t="shared" si="10"/>
        <v>0</v>
      </c>
      <c r="I236" s="400"/>
      <c r="J236" s="400">
        <f t="shared" si="9"/>
        <v>0</v>
      </c>
    </row>
    <row r="237" spans="1:10" ht="19.5">
      <c r="A237" s="179">
        <v>12.01</v>
      </c>
      <c r="B237" s="2" t="s">
        <v>46</v>
      </c>
      <c r="C237" s="62" t="s">
        <v>47</v>
      </c>
      <c r="D237" s="121">
        <v>25</v>
      </c>
      <c r="E237" s="367">
        <v>4266.9761333333336</v>
      </c>
      <c r="F237" s="367">
        <f t="shared" si="11"/>
        <v>106674.40333333334</v>
      </c>
      <c r="G237" s="403"/>
      <c r="H237" s="403">
        <f t="shared" si="10"/>
        <v>0</v>
      </c>
      <c r="I237" s="403">
        <v>5343.7029743589737</v>
      </c>
      <c r="J237" s="403">
        <f t="shared" si="9"/>
        <v>133592.57435897435</v>
      </c>
    </row>
    <row r="238" spans="1:10" ht="19.5">
      <c r="A238" s="181"/>
      <c r="B238" s="57" t="s">
        <v>2</v>
      </c>
      <c r="C238" s="42"/>
      <c r="D238" s="122"/>
      <c r="E238" s="368"/>
      <c r="F238" s="368">
        <f t="shared" si="11"/>
        <v>0</v>
      </c>
      <c r="G238" s="400"/>
      <c r="H238" s="400">
        <f t="shared" si="10"/>
        <v>0</v>
      </c>
      <c r="I238" s="400"/>
      <c r="J238" s="400">
        <f t="shared" si="9"/>
        <v>0</v>
      </c>
    </row>
    <row r="239" spans="1:10" ht="19.5">
      <c r="A239" s="181"/>
      <c r="B239" s="46" t="s">
        <v>11</v>
      </c>
      <c r="C239" s="42" t="s">
        <v>12</v>
      </c>
      <c r="D239" s="122">
        <f>D237*(1/6)*0.032*(1440/50)*1.54</f>
        <v>5.9135999999999989</v>
      </c>
      <c r="E239" s="368">
        <v>11200</v>
      </c>
      <c r="F239" s="368">
        <f t="shared" si="11"/>
        <v>66232.319999999992</v>
      </c>
      <c r="G239" s="400">
        <v>14000</v>
      </c>
      <c r="H239" s="400">
        <f t="shared" si="10"/>
        <v>82790.39999999998</v>
      </c>
      <c r="I239" s="400">
        <v>13500</v>
      </c>
      <c r="J239" s="400">
        <f t="shared" si="9"/>
        <v>79833.599999999991</v>
      </c>
    </row>
    <row r="240" spans="1:10" ht="19.5">
      <c r="A240" s="181"/>
      <c r="B240" s="46" t="s">
        <v>13</v>
      </c>
      <c r="C240" s="42" t="s">
        <v>10</v>
      </c>
      <c r="D240" s="122">
        <f>D237*(5/6)*0.032*1.54</f>
        <v>1.0266666666666668</v>
      </c>
      <c r="E240" s="368">
        <v>36500</v>
      </c>
      <c r="F240" s="368">
        <f t="shared" si="11"/>
        <v>37473.333333333343</v>
      </c>
      <c r="G240" s="400">
        <v>25000</v>
      </c>
      <c r="H240" s="400">
        <f t="shared" si="10"/>
        <v>25666.666666666672</v>
      </c>
      <c r="I240" s="400">
        <v>40000</v>
      </c>
      <c r="J240" s="400">
        <f t="shared" si="9"/>
        <v>41066.666666666672</v>
      </c>
    </row>
    <row r="241" spans="1:10" ht="19.5">
      <c r="A241" s="153"/>
      <c r="B241" s="93" t="s">
        <v>5</v>
      </c>
      <c r="C241" s="27"/>
      <c r="D241" s="116"/>
      <c r="E241" s="381"/>
      <c r="F241" s="368">
        <f t="shared" si="11"/>
        <v>0</v>
      </c>
      <c r="G241" s="400"/>
      <c r="H241" s="400">
        <f t="shared" si="10"/>
        <v>0</v>
      </c>
      <c r="I241" s="400"/>
      <c r="J241" s="400">
        <f t="shared" si="9"/>
        <v>0</v>
      </c>
    </row>
    <row r="242" spans="1:10" ht="19.5">
      <c r="A242" s="184"/>
      <c r="B242" s="94"/>
      <c r="C242" s="22"/>
      <c r="D242" s="113"/>
      <c r="E242" s="374"/>
      <c r="F242" s="368">
        <f t="shared" si="11"/>
        <v>0</v>
      </c>
      <c r="G242" s="400"/>
      <c r="H242" s="400">
        <f t="shared" si="10"/>
        <v>0</v>
      </c>
      <c r="I242" s="400"/>
      <c r="J242" s="400">
        <f t="shared" si="9"/>
        <v>0</v>
      </c>
    </row>
    <row r="243" spans="1:10" ht="19.5">
      <c r="A243" s="184"/>
      <c r="B243" s="93" t="s">
        <v>6</v>
      </c>
      <c r="C243" s="22"/>
      <c r="D243" s="113"/>
      <c r="E243" s="374"/>
      <c r="F243" s="368">
        <f t="shared" si="11"/>
        <v>0</v>
      </c>
      <c r="G243" s="400"/>
      <c r="H243" s="400">
        <f t="shared" si="10"/>
        <v>0</v>
      </c>
      <c r="I243" s="400"/>
      <c r="J243" s="400">
        <f t="shared" si="9"/>
        <v>0</v>
      </c>
    </row>
    <row r="244" spans="1:10" ht="19.5">
      <c r="A244" s="184"/>
      <c r="B244" s="94" t="s">
        <v>34</v>
      </c>
      <c r="C244" s="22" t="s">
        <v>8</v>
      </c>
      <c r="D244" s="113">
        <f>D237/16</f>
        <v>1.5625</v>
      </c>
      <c r="E244" s="374">
        <v>900</v>
      </c>
      <c r="F244" s="368">
        <f t="shared" si="11"/>
        <v>1406.25</v>
      </c>
      <c r="G244" s="400">
        <v>10000</v>
      </c>
      <c r="H244" s="400">
        <f t="shared" si="10"/>
        <v>15625</v>
      </c>
      <c r="I244" s="400">
        <v>5908</v>
      </c>
      <c r="J244" s="400">
        <f t="shared" si="9"/>
        <v>9231.25</v>
      </c>
    </row>
    <row r="245" spans="1:10" ht="19.5">
      <c r="A245" s="184"/>
      <c r="B245" s="94" t="s">
        <v>7</v>
      </c>
      <c r="C245" s="22" t="s">
        <v>8</v>
      </c>
      <c r="D245" s="113">
        <f>D244*2</f>
        <v>3.125</v>
      </c>
      <c r="E245" s="374">
        <v>500</v>
      </c>
      <c r="F245" s="368">
        <f t="shared" si="11"/>
        <v>1562.5</v>
      </c>
      <c r="G245" s="400">
        <v>5000</v>
      </c>
      <c r="H245" s="400">
        <f t="shared" si="10"/>
        <v>15625</v>
      </c>
      <c r="I245" s="400">
        <v>1108</v>
      </c>
      <c r="J245" s="400">
        <f t="shared" si="9"/>
        <v>3462.5</v>
      </c>
    </row>
    <row r="246" spans="1:10" ht="19.5">
      <c r="A246" s="153"/>
      <c r="B246" s="93" t="s">
        <v>9</v>
      </c>
      <c r="C246" s="27"/>
      <c r="D246" s="116"/>
      <c r="E246" s="381"/>
      <c r="F246" s="368">
        <f t="shared" si="11"/>
        <v>0</v>
      </c>
      <c r="G246" s="400"/>
      <c r="H246" s="400">
        <f t="shared" si="10"/>
        <v>0</v>
      </c>
      <c r="I246" s="400"/>
      <c r="J246" s="400">
        <f t="shared" si="9"/>
        <v>0</v>
      </c>
    </row>
    <row r="247" spans="1:10" ht="19.5">
      <c r="A247" s="153"/>
      <c r="B247" s="93"/>
      <c r="C247" s="27"/>
      <c r="D247" s="116"/>
      <c r="E247" s="381"/>
      <c r="F247" s="368">
        <f t="shared" si="11"/>
        <v>0</v>
      </c>
      <c r="G247" s="400"/>
      <c r="H247" s="400">
        <f t="shared" si="10"/>
        <v>0</v>
      </c>
      <c r="I247" s="400"/>
      <c r="J247" s="400">
        <f t="shared" si="9"/>
        <v>0</v>
      </c>
    </row>
    <row r="248" spans="1:10" s="86" customFormat="1" ht="19.5">
      <c r="A248" s="153">
        <v>13</v>
      </c>
      <c r="B248" s="475" t="s">
        <v>48</v>
      </c>
      <c r="C248" s="475"/>
      <c r="D248" s="475"/>
      <c r="E248" s="376"/>
      <c r="F248" s="368">
        <f t="shared" si="11"/>
        <v>0</v>
      </c>
      <c r="G248" s="409"/>
      <c r="H248" s="400">
        <f t="shared" si="10"/>
        <v>0</v>
      </c>
      <c r="I248" s="409"/>
      <c r="J248" s="400">
        <f t="shared" si="9"/>
        <v>0</v>
      </c>
    </row>
    <row r="249" spans="1:10" ht="19.5">
      <c r="A249" s="185">
        <v>13.01</v>
      </c>
      <c r="B249" s="15" t="s">
        <v>49</v>
      </c>
      <c r="C249" s="34" t="s">
        <v>50</v>
      </c>
      <c r="D249" s="120">
        <f>(20*3)-(1.89+5.7)</f>
        <v>52.41</v>
      </c>
      <c r="E249" s="367">
        <v>2514.7471999999998</v>
      </c>
      <c r="F249" s="367">
        <f t="shared" si="11"/>
        <v>131797.90075199999</v>
      </c>
      <c r="G249" s="403"/>
      <c r="H249" s="403">
        <f t="shared" si="10"/>
        <v>0</v>
      </c>
      <c r="I249" s="403">
        <v>5999.9160000000002</v>
      </c>
      <c r="J249" s="403">
        <f t="shared" si="9"/>
        <v>314455.59755999997</v>
      </c>
    </row>
    <row r="250" spans="1:10" ht="19.5">
      <c r="A250" s="184"/>
      <c r="B250" s="57" t="s">
        <v>51</v>
      </c>
      <c r="C250" s="42"/>
      <c r="D250" s="113"/>
      <c r="E250" s="368"/>
      <c r="F250" s="368">
        <f t="shared" si="11"/>
        <v>0</v>
      </c>
      <c r="G250" s="400"/>
      <c r="H250" s="400">
        <f t="shared" si="10"/>
        <v>0</v>
      </c>
      <c r="I250" s="400"/>
      <c r="J250" s="400">
        <f t="shared" si="9"/>
        <v>0</v>
      </c>
    </row>
    <row r="251" spans="1:10" ht="19.5">
      <c r="A251" s="183"/>
      <c r="B251" s="46" t="s">
        <v>52</v>
      </c>
      <c r="C251" s="42" t="s">
        <v>12</v>
      </c>
      <c r="D251" s="113">
        <f>D249*0.015*(1/5)*1.54*(1440/50)</f>
        <v>6.9734649599999994</v>
      </c>
      <c r="E251" s="368">
        <v>11200</v>
      </c>
      <c r="F251" s="368">
        <f t="shared" si="11"/>
        <v>78102.807551999998</v>
      </c>
      <c r="G251" s="400">
        <v>14000</v>
      </c>
      <c r="H251" s="400">
        <f t="shared" si="10"/>
        <v>97628.509439999994</v>
      </c>
      <c r="I251" s="400">
        <v>11000</v>
      </c>
      <c r="J251" s="400">
        <f t="shared" si="9"/>
        <v>76708.114559999987</v>
      </c>
    </row>
    <row r="252" spans="1:10" ht="19.5">
      <c r="A252" s="218"/>
      <c r="B252" s="46" t="s">
        <v>13</v>
      </c>
      <c r="C252" s="42" t="s">
        <v>28</v>
      </c>
      <c r="D252" s="113">
        <f>D249*0.015*1.54*(4/5)</f>
        <v>0.96853679999999986</v>
      </c>
      <c r="E252" s="368">
        <v>36500</v>
      </c>
      <c r="F252" s="368">
        <f t="shared" si="11"/>
        <v>35351.593199999996</v>
      </c>
      <c r="G252" s="400">
        <v>25000</v>
      </c>
      <c r="H252" s="400">
        <f t="shared" si="10"/>
        <v>24213.42</v>
      </c>
      <c r="I252" s="400">
        <v>40000</v>
      </c>
      <c r="J252" s="400">
        <f t="shared" si="9"/>
        <v>38741.471999999994</v>
      </c>
    </row>
    <row r="253" spans="1:10" ht="19.5">
      <c r="A253" s="173"/>
      <c r="B253" s="57" t="s">
        <v>5</v>
      </c>
      <c r="C253" s="58"/>
      <c r="D253" s="116"/>
      <c r="E253" s="378"/>
      <c r="F253" s="368">
        <f t="shared" si="11"/>
        <v>0</v>
      </c>
      <c r="G253" s="400"/>
      <c r="H253" s="400">
        <f t="shared" si="10"/>
        <v>0</v>
      </c>
      <c r="I253" s="400"/>
      <c r="J253" s="400">
        <f t="shared" si="9"/>
        <v>0</v>
      </c>
    </row>
    <row r="254" spans="1:10" ht="19.5">
      <c r="A254" s="218"/>
      <c r="B254" s="46"/>
      <c r="C254" s="42"/>
      <c r="D254" s="113"/>
      <c r="E254" s="368"/>
      <c r="F254" s="368">
        <f t="shared" si="11"/>
        <v>0</v>
      </c>
      <c r="G254" s="400"/>
      <c r="H254" s="400">
        <f t="shared" si="10"/>
        <v>0</v>
      </c>
      <c r="I254" s="400"/>
      <c r="J254" s="400">
        <f t="shared" si="9"/>
        <v>0</v>
      </c>
    </row>
    <row r="255" spans="1:10" ht="19.5">
      <c r="A255" s="218"/>
      <c r="B255" s="57" t="s">
        <v>53</v>
      </c>
      <c r="C255" s="42"/>
      <c r="D255" s="113"/>
      <c r="E255" s="368"/>
      <c r="F255" s="368">
        <f t="shared" si="11"/>
        <v>0</v>
      </c>
      <c r="G255" s="400"/>
      <c r="H255" s="400">
        <f t="shared" si="10"/>
        <v>0</v>
      </c>
      <c r="I255" s="400"/>
      <c r="J255" s="400">
        <f t="shared" si="9"/>
        <v>0</v>
      </c>
    </row>
    <row r="256" spans="1:10" ht="19.5">
      <c r="A256" s="218"/>
      <c r="B256" s="46" t="s">
        <v>34</v>
      </c>
      <c r="C256" s="42" t="s">
        <v>8</v>
      </c>
      <c r="D256" s="113">
        <f>D249/10</f>
        <v>5.2409999999999997</v>
      </c>
      <c r="E256" s="368">
        <v>1500</v>
      </c>
      <c r="F256" s="368">
        <f t="shared" si="11"/>
        <v>7861.4999999999991</v>
      </c>
      <c r="G256" s="400">
        <v>10000</v>
      </c>
      <c r="H256" s="400">
        <f t="shared" si="10"/>
        <v>52410</v>
      </c>
      <c r="I256" s="400">
        <v>25315</v>
      </c>
      <c r="J256" s="400">
        <f t="shared" si="9"/>
        <v>132675.91499999998</v>
      </c>
    </row>
    <row r="257" spans="1:10" ht="19.5">
      <c r="A257" s="218"/>
      <c r="B257" s="46" t="s">
        <v>7</v>
      </c>
      <c r="C257" s="42" t="s">
        <v>8</v>
      </c>
      <c r="D257" s="113">
        <f>D256*4</f>
        <v>20.963999999999999</v>
      </c>
      <c r="E257" s="368">
        <v>500</v>
      </c>
      <c r="F257" s="368">
        <f t="shared" si="11"/>
        <v>10482</v>
      </c>
      <c r="G257" s="400">
        <v>5000</v>
      </c>
      <c r="H257" s="400">
        <f t="shared" si="10"/>
        <v>104820</v>
      </c>
      <c r="I257" s="400">
        <v>3164</v>
      </c>
      <c r="J257" s="400">
        <f t="shared" si="9"/>
        <v>66330.09599999999</v>
      </c>
    </row>
    <row r="258" spans="1:10" ht="19.5">
      <c r="A258" s="173"/>
      <c r="B258" s="93" t="s">
        <v>54</v>
      </c>
      <c r="C258" s="58"/>
      <c r="D258" s="116"/>
      <c r="E258" s="378"/>
      <c r="F258" s="368">
        <f t="shared" si="11"/>
        <v>0</v>
      </c>
      <c r="G258" s="400"/>
      <c r="H258" s="400">
        <f t="shared" si="10"/>
        <v>0</v>
      </c>
      <c r="I258" s="400"/>
      <c r="J258" s="400">
        <f t="shared" si="9"/>
        <v>0</v>
      </c>
    </row>
    <row r="259" spans="1:10" ht="19.5">
      <c r="A259" s="180"/>
      <c r="B259" s="46"/>
      <c r="C259" s="42"/>
      <c r="D259" s="113"/>
      <c r="E259" s="368"/>
      <c r="F259" s="368">
        <f t="shared" si="11"/>
        <v>0</v>
      </c>
      <c r="G259" s="400"/>
      <c r="H259" s="400">
        <f t="shared" si="10"/>
        <v>0</v>
      </c>
      <c r="I259" s="400"/>
      <c r="J259" s="400">
        <f t="shared" si="9"/>
        <v>0</v>
      </c>
    </row>
    <row r="260" spans="1:10" s="86" customFormat="1" ht="19.5">
      <c r="A260" s="173">
        <v>14</v>
      </c>
      <c r="B260" s="100" t="s">
        <v>55</v>
      </c>
      <c r="C260" s="90"/>
      <c r="D260" s="124"/>
      <c r="E260" s="382"/>
      <c r="F260" s="368">
        <f t="shared" si="11"/>
        <v>0</v>
      </c>
      <c r="G260" s="409"/>
      <c r="H260" s="400">
        <f t="shared" si="10"/>
        <v>0</v>
      </c>
      <c r="I260" s="409"/>
      <c r="J260" s="400">
        <f t="shared" si="9"/>
        <v>0</v>
      </c>
    </row>
    <row r="261" spans="1:10" ht="19.5">
      <c r="A261" s="220">
        <v>14.01</v>
      </c>
      <c r="B261" s="15" t="s">
        <v>49</v>
      </c>
      <c r="C261" s="34" t="s">
        <v>1</v>
      </c>
      <c r="D261" s="120">
        <f>D249</f>
        <v>52.41</v>
      </c>
      <c r="E261" s="367">
        <v>3217.7418431597025</v>
      </c>
      <c r="F261" s="367">
        <f t="shared" si="11"/>
        <v>168641.85</v>
      </c>
      <c r="G261" s="403"/>
      <c r="H261" s="403">
        <f t="shared" si="10"/>
        <v>0</v>
      </c>
      <c r="I261" s="403">
        <v>7000.0337500000005</v>
      </c>
      <c r="J261" s="403">
        <f t="shared" ref="J261:J324" si="12">D261*I261</f>
        <v>366871.76883750001</v>
      </c>
    </row>
    <row r="262" spans="1:10" ht="19.5">
      <c r="A262" s="180"/>
      <c r="B262" s="57" t="s">
        <v>2</v>
      </c>
      <c r="C262" s="42"/>
      <c r="D262" s="113"/>
      <c r="E262" s="368"/>
      <c r="F262" s="368">
        <f t="shared" si="11"/>
        <v>0</v>
      </c>
      <c r="G262" s="400"/>
      <c r="H262" s="400">
        <f t="shared" si="10"/>
        <v>0</v>
      </c>
      <c r="I262" s="400"/>
      <c r="J262" s="400">
        <f t="shared" si="12"/>
        <v>0</v>
      </c>
    </row>
    <row r="263" spans="1:10" ht="19.5">
      <c r="A263" s="221"/>
      <c r="B263" s="46" t="s">
        <v>56</v>
      </c>
      <c r="C263" s="42" t="s">
        <v>57</v>
      </c>
      <c r="D263" s="113">
        <f>D261*0.07*3</f>
        <v>11.0061</v>
      </c>
      <c r="E263" s="368">
        <v>9631.0227964492424</v>
      </c>
      <c r="F263" s="368">
        <f t="shared" si="11"/>
        <v>106000</v>
      </c>
      <c r="G263" s="400">
        <v>3000</v>
      </c>
      <c r="H263" s="400">
        <f t="shared" ref="H263:H326" si="13">D263*G263</f>
        <v>33018.300000000003</v>
      </c>
      <c r="I263" s="400">
        <v>4500</v>
      </c>
      <c r="J263" s="400">
        <f t="shared" si="12"/>
        <v>49527.45</v>
      </c>
    </row>
    <row r="264" spans="1:10" ht="19.5">
      <c r="A264" s="218"/>
      <c r="B264" s="46" t="str">
        <f>'[1]Emulsion Paint'!$B$19</f>
        <v>Induit/undercoat ( 2 coats)</v>
      </c>
      <c r="C264" s="42" t="s">
        <v>57</v>
      </c>
      <c r="D264" s="113">
        <f>D261*0.07*2</f>
        <v>7.3374000000000006</v>
      </c>
      <c r="E264" s="368">
        <v>2930.1932564668682</v>
      </c>
      <c r="F264" s="368">
        <f t="shared" ref="F264:F326" si="14">D264*E264</f>
        <v>21500</v>
      </c>
      <c r="G264" s="400">
        <v>1500</v>
      </c>
      <c r="H264" s="400">
        <f t="shared" si="13"/>
        <v>11006.1</v>
      </c>
      <c r="I264" s="400">
        <v>1100</v>
      </c>
      <c r="J264" s="400">
        <f t="shared" si="12"/>
        <v>8071.14</v>
      </c>
    </row>
    <row r="265" spans="1:10" ht="19.5">
      <c r="A265" s="218"/>
      <c r="B265" s="46" t="str">
        <f>'[1]Emulsion Paint'!$B$24</f>
        <v>Roller</v>
      </c>
      <c r="C265" s="42" t="s">
        <v>44</v>
      </c>
      <c r="D265" s="113">
        <f>D261/100</f>
        <v>0.52410000000000001</v>
      </c>
      <c r="E265" s="368">
        <v>4500</v>
      </c>
      <c r="F265" s="368">
        <f t="shared" si="14"/>
        <v>2358.4500000000003</v>
      </c>
      <c r="G265" s="400">
        <v>1200</v>
      </c>
      <c r="H265" s="400">
        <f t="shared" si="13"/>
        <v>628.91999999999996</v>
      </c>
      <c r="I265" s="400">
        <v>2200</v>
      </c>
      <c r="J265" s="400">
        <f t="shared" si="12"/>
        <v>1153.02</v>
      </c>
    </row>
    <row r="266" spans="1:10" ht="19.5">
      <c r="A266" s="218"/>
      <c r="B266" s="46" t="str">
        <f>'[1]Emulsion Paint'!$B$23</f>
        <v>Brush</v>
      </c>
      <c r="C266" s="42" t="s">
        <v>44</v>
      </c>
      <c r="D266" s="113">
        <f>D261/100</f>
        <v>0.52410000000000001</v>
      </c>
      <c r="E266" s="368">
        <v>4500</v>
      </c>
      <c r="F266" s="368">
        <f t="shared" si="14"/>
        <v>2358.4500000000003</v>
      </c>
      <c r="G266" s="400">
        <v>1200</v>
      </c>
      <c r="H266" s="400">
        <f t="shared" si="13"/>
        <v>628.91999999999996</v>
      </c>
      <c r="I266" s="400">
        <v>600</v>
      </c>
      <c r="J266" s="400">
        <f t="shared" si="12"/>
        <v>314.45999999999998</v>
      </c>
    </row>
    <row r="267" spans="1:10" ht="19.5">
      <c r="A267" s="218"/>
      <c r="B267" s="46" t="s">
        <v>58</v>
      </c>
      <c r="C267" s="42" t="s">
        <v>59</v>
      </c>
      <c r="D267" s="113">
        <f>D261/100</f>
        <v>0.52410000000000001</v>
      </c>
      <c r="E267" s="368">
        <v>3500</v>
      </c>
      <c r="F267" s="368">
        <f t="shared" si="14"/>
        <v>1834.3500000000001</v>
      </c>
      <c r="G267" s="400">
        <v>2000</v>
      </c>
      <c r="H267" s="400">
        <f t="shared" si="13"/>
        <v>1048.2</v>
      </c>
      <c r="I267" s="400">
        <v>3500</v>
      </c>
      <c r="J267" s="400">
        <f t="shared" si="12"/>
        <v>1834.3500000000001</v>
      </c>
    </row>
    <row r="268" spans="1:10" ht="19.5">
      <c r="A268" s="218"/>
      <c r="B268" s="46" t="s">
        <v>60</v>
      </c>
      <c r="C268" s="42" t="s">
        <v>44</v>
      </c>
      <c r="D268" s="113">
        <f>D261/50</f>
        <v>1.0482</v>
      </c>
      <c r="E268" s="368">
        <v>3500</v>
      </c>
      <c r="F268" s="368">
        <f t="shared" si="14"/>
        <v>3668.7000000000003</v>
      </c>
      <c r="G268" s="400">
        <v>2000</v>
      </c>
      <c r="H268" s="400">
        <f t="shared" si="13"/>
        <v>2096.4</v>
      </c>
      <c r="I268" s="400">
        <v>1500</v>
      </c>
      <c r="J268" s="400">
        <f t="shared" si="12"/>
        <v>1572.3</v>
      </c>
    </row>
    <row r="269" spans="1:10" ht="19.5">
      <c r="A269" s="173"/>
      <c r="B269" s="57" t="s">
        <v>61</v>
      </c>
      <c r="C269" s="58"/>
      <c r="D269" s="116"/>
      <c r="E269" s="378"/>
      <c r="F269" s="368">
        <f t="shared" si="14"/>
        <v>0</v>
      </c>
      <c r="G269" s="400"/>
      <c r="H269" s="400">
        <f t="shared" si="13"/>
        <v>0</v>
      </c>
      <c r="I269" s="400"/>
      <c r="J269" s="400">
        <f t="shared" si="12"/>
        <v>0</v>
      </c>
    </row>
    <row r="270" spans="1:10" ht="19.5">
      <c r="A270" s="218"/>
      <c r="B270" s="46"/>
      <c r="C270" s="42"/>
      <c r="D270" s="113"/>
      <c r="E270" s="368"/>
      <c r="F270" s="368">
        <f t="shared" si="14"/>
        <v>0</v>
      </c>
      <c r="G270" s="400"/>
      <c r="H270" s="400">
        <f t="shared" si="13"/>
        <v>0</v>
      </c>
      <c r="I270" s="400"/>
      <c r="J270" s="400">
        <f t="shared" si="12"/>
        <v>0</v>
      </c>
    </row>
    <row r="271" spans="1:10" ht="19.5">
      <c r="A271" s="218"/>
      <c r="B271" s="57" t="s">
        <v>6</v>
      </c>
      <c r="C271" s="42"/>
      <c r="D271" s="113"/>
      <c r="E271" s="368"/>
      <c r="F271" s="368">
        <f t="shared" si="14"/>
        <v>0</v>
      </c>
      <c r="G271" s="400"/>
      <c r="H271" s="400">
        <f t="shared" si="13"/>
        <v>0</v>
      </c>
      <c r="I271" s="400"/>
      <c r="J271" s="400">
        <f t="shared" si="12"/>
        <v>0</v>
      </c>
    </row>
    <row r="272" spans="1:10" ht="19.5">
      <c r="A272" s="218"/>
      <c r="B272" s="46" t="s">
        <v>7</v>
      </c>
      <c r="C272" s="42" t="s">
        <v>62</v>
      </c>
      <c r="D272" s="113">
        <f>D273</f>
        <v>3.8652374999999997</v>
      </c>
      <c r="E272" s="368">
        <v>1500</v>
      </c>
      <c r="F272" s="368">
        <f t="shared" si="14"/>
        <v>5797.8562499999998</v>
      </c>
      <c r="G272" s="400">
        <v>5000</v>
      </c>
      <c r="H272" s="400">
        <f t="shared" si="13"/>
        <v>19326.1875</v>
      </c>
      <c r="I272" s="400">
        <v>19113</v>
      </c>
      <c r="J272" s="400">
        <f t="shared" si="12"/>
        <v>73876.284337499994</v>
      </c>
    </row>
    <row r="273" spans="1:10" ht="19.5">
      <c r="A273" s="218"/>
      <c r="B273" s="46" t="s">
        <v>63</v>
      </c>
      <c r="C273" s="42" t="s">
        <v>62</v>
      </c>
      <c r="D273" s="113">
        <f>D261*(0.59/8)</f>
        <v>3.8652374999999997</v>
      </c>
      <c r="E273" s="368">
        <v>6500</v>
      </c>
      <c r="F273" s="368">
        <f t="shared" si="14"/>
        <v>25124.043749999997</v>
      </c>
      <c r="G273" s="400">
        <v>12000</v>
      </c>
      <c r="H273" s="400">
        <f t="shared" si="13"/>
        <v>46382.85</v>
      </c>
      <c r="I273" s="400">
        <v>59640</v>
      </c>
      <c r="J273" s="400">
        <f t="shared" si="12"/>
        <v>230522.76449999999</v>
      </c>
    </row>
    <row r="274" spans="1:10" ht="19.5">
      <c r="A274" s="153"/>
      <c r="B274" s="93" t="s">
        <v>9</v>
      </c>
      <c r="C274" s="27"/>
      <c r="D274" s="116"/>
      <c r="E274" s="381"/>
      <c r="F274" s="368">
        <f t="shared" si="14"/>
        <v>0</v>
      </c>
      <c r="G274" s="400"/>
      <c r="H274" s="400">
        <f t="shared" si="13"/>
        <v>0</v>
      </c>
      <c r="I274" s="400"/>
      <c r="J274" s="400">
        <f t="shared" si="12"/>
        <v>0</v>
      </c>
    </row>
    <row r="275" spans="1:10" ht="19.5">
      <c r="A275" s="222"/>
      <c r="B275" s="102"/>
      <c r="C275" s="45"/>
      <c r="D275" s="123"/>
      <c r="E275" s="383"/>
      <c r="F275" s="368">
        <f t="shared" si="14"/>
        <v>0</v>
      </c>
      <c r="G275" s="400"/>
      <c r="H275" s="400">
        <f t="shared" si="13"/>
        <v>0</v>
      </c>
      <c r="I275" s="400"/>
      <c r="J275" s="400">
        <f t="shared" si="12"/>
        <v>0</v>
      </c>
    </row>
    <row r="276" spans="1:10" s="86" customFormat="1" ht="19.5">
      <c r="A276" s="153">
        <v>15</v>
      </c>
      <c r="B276" s="475" t="s">
        <v>124</v>
      </c>
      <c r="C276" s="475"/>
      <c r="D276" s="475"/>
      <c r="E276" s="376"/>
      <c r="F276" s="368">
        <f t="shared" si="14"/>
        <v>0</v>
      </c>
      <c r="G276" s="409"/>
      <c r="H276" s="400">
        <f t="shared" si="13"/>
        <v>0</v>
      </c>
      <c r="I276" s="409"/>
      <c r="J276" s="400">
        <f t="shared" si="12"/>
        <v>0</v>
      </c>
    </row>
    <row r="277" spans="1:10" ht="19.5">
      <c r="A277" s="185">
        <v>15.01</v>
      </c>
      <c r="B277" s="33" t="s">
        <v>64</v>
      </c>
      <c r="C277" s="34" t="s">
        <v>50</v>
      </c>
      <c r="D277" s="120">
        <f>D249</f>
        <v>52.41</v>
      </c>
      <c r="E277" s="367">
        <v>3536.377433333334</v>
      </c>
      <c r="F277" s="367">
        <f t="shared" si="14"/>
        <v>185341.54128100001</v>
      </c>
      <c r="G277" s="403"/>
      <c r="H277" s="403">
        <f t="shared" si="13"/>
        <v>0</v>
      </c>
      <c r="I277" s="403">
        <v>5999.9013333333332</v>
      </c>
      <c r="J277" s="403">
        <f t="shared" si="12"/>
        <v>314454.82887999999</v>
      </c>
    </row>
    <row r="278" spans="1:10" ht="19.5">
      <c r="A278" s="184"/>
      <c r="B278" s="57" t="s">
        <v>51</v>
      </c>
      <c r="C278" s="42"/>
      <c r="D278" s="113"/>
      <c r="E278" s="368"/>
      <c r="F278" s="368">
        <f t="shared" si="14"/>
        <v>0</v>
      </c>
      <c r="G278" s="400"/>
      <c r="H278" s="400">
        <f t="shared" si="13"/>
        <v>0</v>
      </c>
      <c r="I278" s="400"/>
      <c r="J278" s="400">
        <f t="shared" si="12"/>
        <v>0</v>
      </c>
    </row>
    <row r="279" spans="1:10" ht="19.5">
      <c r="A279" s="183"/>
      <c r="B279" s="46" t="s">
        <v>52</v>
      </c>
      <c r="C279" s="42" t="s">
        <v>12</v>
      </c>
      <c r="D279" s="113">
        <f>D277*0.01*(1/4)*1.54*(1440/50)+(D277*0.003*(1/6)*1.57*(1440/50))</f>
        <v>6.9961060799999997</v>
      </c>
      <c r="E279" s="368">
        <v>11200</v>
      </c>
      <c r="F279" s="368">
        <f t="shared" si="14"/>
        <v>78356.388095999995</v>
      </c>
      <c r="G279" s="400">
        <v>1400</v>
      </c>
      <c r="H279" s="400">
        <f t="shared" si="13"/>
        <v>9794.5485119999994</v>
      </c>
      <c r="I279" s="400">
        <v>11000</v>
      </c>
      <c r="J279" s="400">
        <f t="shared" si="12"/>
        <v>76957.16687999999</v>
      </c>
    </row>
    <row r="280" spans="1:10" ht="19.5">
      <c r="A280" s="218"/>
      <c r="B280" s="46" t="s">
        <v>13</v>
      </c>
      <c r="C280" s="42" t="s">
        <v>28</v>
      </c>
      <c r="D280" s="113">
        <f>D277*0.01*1.5*1.54*(3/4)</f>
        <v>0.90800325000000004</v>
      </c>
      <c r="E280" s="368">
        <v>36500</v>
      </c>
      <c r="F280" s="368">
        <f t="shared" si="14"/>
        <v>33142.118625000003</v>
      </c>
      <c r="G280" s="400">
        <v>2500</v>
      </c>
      <c r="H280" s="400">
        <f t="shared" si="13"/>
        <v>2270.0081250000003</v>
      </c>
      <c r="I280" s="400">
        <v>40000</v>
      </c>
      <c r="J280" s="400">
        <f t="shared" si="12"/>
        <v>36320.130000000005</v>
      </c>
    </row>
    <row r="281" spans="1:10" ht="19.5">
      <c r="A281" s="218"/>
      <c r="B281" s="46" t="s">
        <v>65</v>
      </c>
      <c r="C281" s="42" t="s">
        <v>31</v>
      </c>
      <c r="D281" s="113">
        <f>D277*0.003*(5/6)*1.57*(1440/50)</f>
        <v>5.9244264000000006</v>
      </c>
      <c r="E281" s="368">
        <v>10400</v>
      </c>
      <c r="F281" s="368">
        <f t="shared" si="14"/>
        <v>61614.034560000007</v>
      </c>
      <c r="G281" s="400">
        <v>15000</v>
      </c>
      <c r="H281" s="400">
        <f t="shared" si="13"/>
        <v>88866.396000000008</v>
      </c>
      <c r="I281" s="400">
        <v>10000</v>
      </c>
      <c r="J281" s="400">
        <f t="shared" si="12"/>
        <v>59244.264000000003</v>
      </c>
    </row>
    <row r="282" spans="1:10" ht="19.5">
      <c r="A282" s="88"/>
      <c r="B282" s="46" t="s">
        <v>5</v>
      </c>
      <c r="C282" s="42"/>
      <c r="D282" s="113"/>
      <c r="E282" s="368"/>
      <c r="F282" s="368">
        <f t="shared" si="14"/>
        <v>0</v>
      </c>
      <c r="G282" s="400"/>
      <c r="H282" s="400">
        <f t="shared" si="13"/>
        <v>0</v>
      </c>
      <c r="I282" s="400"/>
      <c r="J282" s="400">
        <f t="shared" si="12"/>
        <v>0</v>
      </c>
    </row>
    <row r="283" spans="1:10" ht="19.5">
      <c r="A283" s="88"/>
      <c r="B283" s="46"/>
      <c r="C283" s="42"/>
      <c r="D283" s="113"/>
      <c r="E283" s="368"/>
      <c r="F283" s="368">
        <f t="shared" si="14"/>
        <v>0</v>
      </c>
      <c r="G283" s="400"/>
      <c r="H283" s="400">
        <f t="shared" si="13"/>
        <v>0</v>
      </c>
      <c r="I283" s="400"/>
      <c r="J283" s="400">
        <f t="shared" si="12"/>
        <v>0</v>
      </c>
    </row>
    <row r="284" spans="1:10" ht="19.5">
      <c r="A284" s="88"/>
      <c r="B284" s="57" t="s">
        <v>53</v>
      </c>
      <c r="C284" s="42"/>
      <c r="D284" s="113"/>
      <c r="E284" s="368"/>
      <c r="F284" s="368">
        <f t="shared" si="14"/>
        <v>0</v>
      </c>
      <c r="G284" s="400"/>
      <c r="H284" s="400">
        <f t="shared" si="13"/>
        <v>0</v>
      </c>
      <c r="I284" s="400"/>
      <c r="J284" s="400">
        <f t="shared" si="12"/>
        <v>0</v>
      </c>
    </row>
    <row r="285" spans="1:10" ht="19.5">
      <c r="A285" s="88"/>
      <c r="B285" s="46" t="s">
        <v>34</v>
      </c>
      <c r="C285" s="42" t="s">
        <v>8</v>
      </c>
      <c r="D285" s="113">
        <f>D277/15</f>
        <v>3.4939999999999998</v>
      </c>
      <c r="E285" s="368">
        <v>1500</v>
      </c>
      <c r="F285" s="368">
        <f t="shared" si="14"/>
        <v>5241</v>
      </c>
      <c r="G285" s="400">
        <v>10000</v>
      </c>
      <c r="H285" s="400">
        <f t="shared" si="13"/>
        <v>34940</v>
      </c>
      <c r="I285" s="400">
        <v>27082</v>
      </c>
      <c r="J285" s="400">
        <f t="shared" si="12"/>
        <v>94624.507999999987</v>
      </c>
    </row>
    <row r="286" spans="1:10" ht="19.5">
      <c r="A286" s="88"/>
      <c r="B286" s="46" t="s">
        <v>7</v>
      </c>
      <c r="C286" s="42" t="s">
        <v>8</v>
      </c>
      <c r="D286" s="113">
        <f>D285*4</f>
        <v>13.975999999999999</v>
      </c>
      <c r="E286" s="368">
        <v>500</v>
      </c>
      <c r="F286" s="368">
        <f t="shared" si="14"/>
        <v>6988</v>
      </c>
      <c r="G286" s="400">
        <v>5000</v>
      </c>
      <c r="H286" s="400">
        <f t="shared" si="13"/>
        <v>69880</v>
      </c>
      <c r="I286" s="400">
        <v>3385</v>
      </c>
      <c r="J286" s="400">
        <f t="shared" si="12"/>
        <v>47308.759999999995</v>
      </c>
    </row>
    <row r="287" spans="1:10" ht="19.5">
      <c r="A287" s="89"/>
      <c r="B287" s="93" t="s">
        <v>54</v>
      </c>
      <c r="C287" s="58"/>
      <c r="D287" s="116"/>
      <c r="E287" s="378"/>
      <c r="F287" s="368">
        <f t="shared" si="14"/>
        <v>0</v>
      </c>
      <c r="G287" s="400"/>
      <c r="H287" s="400">
        <f t="shared" si="13"/>
        <v>0</v>
      </c>
      <c r="I287" s="400"/>
      <c r="J287" s="400">
        <f t="shared" si="12"/>
        <v>0</v>
      </c>
    </row>
    <row r="288" spans="1:10" ht="19.5">
      <c r="A288" s="87"/>
      <c r="B288" s="94"/>
      <c r="C288" s="22"/>
      <c r="D288" s="113"/>
      <c r="E288" s="374"/>
      <c r="F288" s="368">
        <f t="shared" si="14"/>
        <v>0</v>
      </c>
      <c r="G288" s="400"/>
      <c r="H288" s="400">
        <f t="shared" si="13"/>
        <v>0</v>
      </c>
      <c r="I288" s="400"/>
      <c r="J288" s="400">
        <f t="shared" si="12"/>
        <v>0</v>
      </c>
    </row>
    <row r="289" spans="1:10" ht="19.7" customHeight="1">
      <c r="A289" s="80">
        <v>16</v>
      </c>
      <c r="B289" s="475" t="s">
        <v>141</v>
      </c>
      <c r="C289" s="475"/>
      <c r="D289" s="475"/>
      <c r="E289" s="376"/>
      <c r="F289" s="368">
        <f t="shared" si="14"/>
        <v>0</v>
      </c>
      <c r="G289" s="400"/>
      <c r="H289" s="400">
        <f t="shared" si="13"/>
        <v>0</v>
      </c>
      <c r="I289" s="400"/>
      <c r="J289" s="400">
        <f t="shared" si="12"/>
        <v>0</v>
      </c>
    </row>
    <row r="290" spans="1:10" ht="19.5">
      <c r="A290" s="188">
        <v>16.010000000000002</v>
      </c>
      <c r="B290" s="15" t="s">
        <v>66</v>
      </c>
      <c r="C290" s="34" t="s">
        <v>1</v>
      </c>
      <c r="D290" s="131">
        <f>D277+D249</f>
        <v>104.82</v>
      </c>
      <c r="E290" s="367">
        <v>4747.5195573363862</v>
      </c>
      <c r="F290" s="367">
        <f t="shared" si="14"/>
        <v>497635</v>
      </c>
      <c r="G290" s="403"/>
      <c r="H290" s="403">
        <f t="shared" si="13"/>
        <v>0</v>
      </c>
      <c r="I290" s="403">
        <v>7000</v>
      </c>
      <c r="J290" s="403">
        <f t="shared" si="12"/>
        <v>733740</v>
      </c>
    </row>
    <row r="291" spans="1:10" ht="19.5">
      <c r="A291" s="87"/>
      <c r="B291" s="57" t="s">
        <v>2</v>
      </c>
      <c r="C291" s="42"/>
      <c r="D291" s="128"/>
      <c r="E291" s="368"/>
      <c r="F291" s="368">
        <f t="shared" si="14"/>
        <v>0</v>
      </c>
      <c r="G291" s="400"/>
      <c r="H291" s="400">
        <f t="shared" si="13"/>
        <v>0</v>
      </c>
      <c r="I291" s="400"/>
      <c r="J291" s="400">
        <f t="shared" si="12"/>
        <v>0</v>
      </c>
    </row>
    <row r="292" spans="1:10" ht="19.5">
      <c r="A292" s="87"/>
      <c r="B292" s="46" t="str">
        <f>'[1]Emulsion Paint'!$B$22</f>
        <v>Emulsion paint ( 3 coats)</v>
      </c>
      <c r="C292" s="42" t="s">
        <v>57</v>
      </c>
      <c r="D292" s="128">
        <f>D290*0.07*3</f>
        <v>22.0122</v>
      </c>
      <c r="E292" s="368">
        <v>5224.3755735455788</v>
      </c>
      <c r="F292" s="368">
        <f t="shared" si="14"/>
        <v>114999.99999999999</v>
      </c>
      <c r="G292" s="400">
        <v>2000</v>
      </c>
      <c r="H292" s="400">
        <f t="shared" si="13"/>
        <v>44024.4</v>
      </c>
      <c r="I292" s="400">
        <v>4000</v>
      </c>
      <c r="J292" s="400">
        <f t="shared" si="12"/>
        <v>88048.8</v>
      </c>
    </row>
    <row r="293" spans="1:10" ht="19.5">
      <c r="A293" s="210"/>
      <c r="B293" s="46" t="str">
        <f>'[1]Emulsion Paint'!$B$20</f>
        <v>Whiting/stucco ( 2 coats)</v>
      </c>
      <c r="C293" s="42" t="s">
        <v>67</v>
      </c>
      <c r="D293" s="128">
        <f>D290*((50*2)/65)*2</f>
        <v>322.52307692307693</v>
      </c>
      <c r="E293" s="368">
        <v>449.58023278000383</v>
      </c>
      <c r="F293" s="368">
        <f t="shared" si="14"/>
        <v>145000</v>
      </c>
      <c r="G293" s="400">
        <v>2000</v>
      </c>
      <c r="H293" s="400">
        <f t="shared" si="13"/>
        <v>645046.15384615387</v>
      </c>
      <c r="I293" s="400">
        <v>640</v>
      </c>
      <c r="J293" s="400">
        <f t="shared" si="12"/>
        <v>206414.76923076925</v>
      </c>
    </row>
    <row r="294" spans="1:10" ht="19.5">
      <c r="A294" s="88"/>
      <c r="B294" s="46" t="str">
        <f>'[1]Emulsion Paint'!$B$19</f>
        <v>Induit/undercoat ( 2 coats)</v>
      </c>
      <c r="C294" s="42" t="s">
        <v>57</v>
      </c>
      <c r="D294" s="128">
        <f>D290*0.07*2</f>
        <v>14.674800000000001</v>
      </c>
      <c r="E294" s="368">
        <v>1100</v>
      </c>
      <c r="F294" s="368">
        <f t="shared" si="14"/>
        <v>16142.28</v>
      </c>
      <c r="G294" s="400">
        <v>1000</v>
      </c>
      <c r="H294" s="400">
        <f t="shared" si="13"/>
        <v>14674.800000000001</v>
      </c>
      <c r="I294" s="400">
        <v>700</v>
      </c>
      <c r="J294" s="400">
        <f t="shared" si="12"/>
        <v>10272.36</v>
      </c>
    </row>
    <row r="295" spans="1:10" ht="19.5">
      <c r="A295" s="88"/>
      <c r="B295" s="46" t="s">
        <v>68</v>
      </c>
      <c r="C295" s="42" t="s">
        <v>57</v>
      </c>
      <c r="D295" s="128">
        <f>D290*((30/65)*2)</f>
        <v>96.756923076923073</v>
      </c>
      <c r="E295" s="368">
        <v>1100</v>
      </c>
      <c r="F295" s="368">
        <f t="shared" si="14"/>
        <v>106432.61538461538</v>
      </c>
      <c r="G295" s="400">
        <v>1000</v>
      </c>
      <c r="H295" s="400">
        <f t="shared" si="13"/>
        <v>96756.923076923078</v>
      </c>
      <c r="I295" s="400">
        <v>700</v>
      </c>
      <c r="J295" s="400">
        <f t="shared" si="12"/>
        <v>67729.846153846156</v>
      </c>
    </row>
    <row r="296" spans="1:10" ht="19.5">
      <c r="A296" s="88"/>
      <c r="B296" s="46" t="str">
        <f>'[1]Emulsion Paint'!$B$21</f>
        <v>Colle</v>
      </c>
      <c r="C296" s="42" t="s">
        <v>69</v>
      </c>
      <c r="D296" s="128">
        <f>D290*((1/65)*2)</f>
        <v>3.2252307692307691</v>
      </c>
      <c r="E296" s="368">
        <v>3500</v>
      </c>
      <c r="F296" s="368">
        <f t="shared" si="14"/>
        <v>11288.307692307691</v>
      </c>
      <c r="G296" s="400">
        <v>15000</v>
      </c>
      <c r="H296" s="400">
        <f t="shared" si="13"/>
        <v>48378.461538461539</v>
      </c>
      <c r="I296" s="400">
        <v>18000</v>
      </c>
      <c r="J296" s="400">
        <f t="shared" si="12"/>
        <v>58054.153846153844</v>
      </c>
    </row>
    <row r="297" spans="1:10" ht="19.5">
      <c r="A297" s="88"/>
      <c r="B297" s="46" t="str">
        <f>'[1]Emulsion Paint'!$B$24</f>
        <v>Roller</v>
      </c>
      <c r="C297" s="42" t="s">
        <v>44</v>
      </c>
      <c r="D297" s="113">
        <f>D290/100</f>
        <v>1.0482</v>
      </c>
      <c r="E297" s="368">
        <v>3500</v>
      </c>
      <c r="F297" s="368">
        <f t="shared" si="14"/>
        <v>3668.7000000000003</v>
      </c>
      <c r="G297" s="400">
        <v>1200</v>
      </c>
      <c r="H297" s="400">
        <f t="shared" si="13"/>
        <v>1257.8399999999999</v>
      </c>
      <c r="I297" s="400">
        <v>2200</v>
      </c>
      <c r="J297" s="400">
        <f t="shared" si="12"/>
        <v>2306.04</v>
      </c>
    </row>
    <row r="298" spans="1:10" ht="19.5">
      <c r="A298" s="88"/>
      <c r="B298" s="46" t="str">
        <f>'[1]Emulsion Paint'!$B$23</f>
        <v>Brush</v>
      </c>
      <c r="C298" s="42" t="s">
        <v>44</v>
      </c>
      <c r="D298" s="113">
        <f>D290/100</f>
        <v>1.0482</v>
      </c>
      <c r="E298" s="368">
        <v>3500</v>
      </c>
      <c r="F298" s="368">
        <f t="shared" si="14"/>
        <v>3668.7000000000003</v>
      </c>
      <c r="G298" s="400">
        <v>1200</v>
      </c>
      <c r="H298" s="400">
        <f t="shared" si="13"/>
        <v>1257.8399999999999</v>
      </c>
      <c r="I298" s="400">
        <v>600</v>
      </c>
      <c r="J298" s="400">
        <f t="shared" si="12"/>
        <v>628.91999999999996</v>
      </c>
    </row>
    <row r="299" spans="1:10" ht="19.5">
      <c r="A299" s="88"/>
      <c r="B299" s="46" t="s">
        <v>58</v>
      </c>
      <c r="C299" s="42" t="s">
        <v>59</v>
      </c>
      <c r="D299" s="113">
        <f>D290/100</f>
        <v>1.0482</v>
      </c>
      <c r="E299" s="368">
        <v>3500</v>
      </c>
      <c r="F299" s="368">
        <f t="shared" si="14"/>
        <v>3668.7000000000003</v>
      </c>
      <c r="G299" s="400">
        <v>2000</v>
      </c>
      <c r="H299" s="400">
        <f t="shared" si="13"/>
        <v>2096.4</v>
      </c>
      <c r="I299" s="400">
        <v>3500</v>
      </c>
      <c r="J299" s="400">
        <f t="shared" si="12"/>
        <v>3668.7000000000003</v>
      </c>
    </row>
    <row r="300" spans="1:10" ht="19.5">
      <c r="A300" s="89"/>
      <c r="B300" s="57" t="s">
        <v>5</v>
      </c>
      <c r="C300" s="58"/>
      <c r="D300" s="116"/>
      <c r="E300" s="378"/>
      <c r="F300" s="368">
        <f t="shared" si="14"/>
        <v>0</v>
      </c>
      <c r="G300" s="400"/>
      <c r="H300" s="400">
        <f t="shared" si="13"/>
        <v>0</v>
      </c>
      <c r="I300" s="400"/>
      <c r="J300" s="400">
        <f t="shared" si="12"/>
        <v>0</v>
      </c>
    </row>
    <row r="301" spans="1:10" ht="19.5">
      <c r="A301" s="88"/>
      <c r="B301" s="46"/>
      <c r="C301" s="42"/>
      <c r="D301" s="113"/>
      <c r="E301" s="368"/>
      <c r="F301" s="368">
        <f t="shared" si="14"/>
        <v>0</v>
      </c>
      <c r="G301" s="400"/>
      <c r="H301" s="400">
        <f t="shared" si="13"/>
        <v>0</v>
      </c>
      <c r="I301" s="400"/>
      <c r="J301" s="400">
        <f t="shared" si="12"/>
        <v>0</v>
      </c>
    </row>
    <row r="302" spans="1:10" ht="19.5">
      <c r="A302" s="88"/>
      <c r="B302" s="57" t="s">
        <v>6</v>
      </c>
      <c r="C302" s="42"/>
      <c r="D302" s="128"/>
      <c r="E302" s="368"/>
      <c r="F302" s="368">
        <f t="shared" si="14"/>
        <v>0</v>
      </c>
      <c r="G302" s="400"/>
      <c r="H302" s="400">
        <f t="shared" si="13"/>
        <v>0</v>
      </c>
      <c r="I302" s="400"/>
      <c r="J302" s="400">
        <f t="shared" si="12"/>
        <v>0</v>
      </c>
    </row>
    <row r="303" spans="1:10" ht="19.5">
      <c r="A303" s="88"/>
      <c r="B303" s="46" t="s">
        <v>7</v>
      </c>
      <c r="C303" s="42" t="s">
        <v>62</v>
      </c>
      <c r="D303" s="128">
        <f>D304</f>
        <v>7.7304749999999993</v>
      </c>
      <c r="E303" s="368">
        <v>5500</v>
      </c>
      <c r="F303" s="368">
        <f t="shared" si="14"/>
        <v>42517.612499999996</v>
      </c>
      <c r="G303" s="400">
        <v>5000</v>
      </c>
      <c r="H303" s="400">
        <f t="shared" si="13"/>
        <v>38652.375</v>
      </c>
      <c r="I303" s="400">
        <v>12900</v>
      </c>
      <c r="J303" s="400">
        <f t="shared" si="12"/>
        <v>99723.127499999988</v>
      </c>
    </row>
    <row r="304" spans="1:10" ht="19.5">
      <c r="A304" s="88"/>
      <c r="B304" s="46" t="s">
        <v>70</v>
      </c>
      <c r="C304" s="42" t="s">
        <v>62</v>
      </c>
      <c r="D304" s="128">
        <f>D290*(0.59/8)</f>
        <v>7.7304749999999993</v>
      </c>
      <c r="E304" s="368">
        <v>6500</v>
      </c>
      <c r="F304" s="368">
        <f t="shared" si="14"/>
        <v>50248.087499999994</v>
      </c>
      <c r="G304" s="400">
        <v>12000</v>
      </c>
      <c r="H304" s="400">
        <f t="shared" si="13"/>
        <v>92765.7</v>
      </c>
      <c r="I304" s="400">
        <v>25469.8</v>
      </c>
      <c r="J304" s="400">
        <f t="shared" si="12"/>
        <v>196893.65215499999</v>
      </c>
    </row>
    <row r="305" spans="1:10" ht="19.5">
      <c r="A305" s="89"/>
      <c r="B305" s="57" t="s">
        <v>54</v>
      </c>
      <c r="C305" s="58"/>
      <c r="D305" s="129"/>
      <c r="E305" s="378"/>
      <c r="F305" s="368">
        <f t="shared" si="14"/>
        <v>0</v>
      </c>
      <c r="G305" s="400"/>
      <c r="H305" s="400">
        <f t="shared" si="13"/>
        <v>0</v>
      </c>
      <c r="I305" s="400"/>
      <c r="J305" s="400">
        <f t="shared" si="12"/>
        <v>0</v>
      </c>
    </row>
    <row r="306" spans="1:10" ht="19.5">
      <c r="A306" s="89"/>
      <c r="B306" s="57"/>
      <c r="C306" s="58"/>
      <c r="D306" s="129"/>
      <c r="E306" s="378"/>
      <c r="F306" s="368">
        <f t="shared" si="14"/>
        <v>0</v>
      </c>
      <c r="G306" s="400"/>
      <c r="H306" s="400">
        <f t="shared" si="13"/>
        <v>0</v>
      </c>
      <c r="I306" s="400"/>
      <c r="J306" s="400">
        <f t="shared" si="12"/>
        <v>0</v>
      </c>
    </row>
    <row r="307" spans="1:10" ht="37.5" customHeight="1">
      <c r="A307" s="262">
        <v>17</v>
      </c>
      <c r="B307" s="471" t="s">
        <v>131</v>
      </c>
      <c r="C307" s="471"/>
      <c r="D307" s="471"/>
      <c r="E307" s="420"/>
      <c r="F307" s="368">
        <f t="shared" si="14"/>
        <v>0</v>
      </c>
      <c r="G307" s="400"/>
      <c r="H307" s="400">
        <f t="shared" si="13"/>
        <v>0</v>
      </c>
      <c r="I307" s="400"/>
      <c r="J307" s="400">
        <f t="shared" si="12"/>
        <v>0</v>
      </c>
    </row>
    <row r="308" spans="1:10" ht="19.5">
      <c r="A308" s="1">
        <v>17.010000000000002</v>
      </c>
      <c r="B308" s="2" t="s">
        <v>128</v>
      </c>
      <c r="C308" s="247" t="s">
        <v>129</v>
      </c>
      <c r="D308" s="245">
        <v>2</v>
      </c>
      <c r="E308" s="371">
        <v>103740</v>
      </c>
      <c r="F308" s="367">
        <f t="shared" si="14"/>
        <v>207480</v>
      </c>
      <c r="G308" s="403"/>
      <c r="H308" s="403">
        <f t="shared" si="13"/>
        <v>0</v>
      </c>
      <c r="I308" s="403">
        <v>328499.99999999994</v>
      </c>
      <c r="J308" s="403">
        <f t="shared" si="12"/>
        <v>656999.99999999988</v>
      </c>
    </row>
    <row r="309" spans="1:10" ht="19.5">
      <c r="A309" s="208"/>
      <c r="B309" s="7" t="s">
        <v>29</v>
      </c>
      <c r="C309" s="8"/>
      <c r="D309" s="128"/>
      <c r="E309" s="368"/>
      <c r="F309" s="368">
        <f t="shared" si="14"/>
        <v>0</v>
      </c>
      <c r="G309" s="400"/>
      <c r="H309" s="400">
        <f t="shared" si="13"/>
        <v>0</v>
      </c>
      <c r="I309" s="400"/>
      <c r="J309" s="400">
        <f t="shared" si="12"/>
        <v>0</v>
      </c>
    </row>
    <row r="310" spans="1:10" ht="19.5">
      <c r="A310" s="82"/>
      <c r="B310" s="12" t="s">
        <v>143</v>
      </c>
      <c r="C310" s="8" t="s">
        <v>144</v>
      </c>
      <c r="D310" s="128">
        <f>D308</f>
        <v>2</v>
      </c>
      <c r="E310" s="368">
        <v>79799.999999999985</v>
      </c>
      <c r="F310" s="368">
        <f t="shared" si="14"/>
        <v>159599.99999999997</v>
      </c>
      <c r="G310" s="400">
        <v>15000</v>
      </c>
      <c r="H310" s="400">
        <f t="shared" si="13"/>
        <v>30000</v>
      </c>
      <c r="I310" s="400">
        <v>313499.99999999994</v>
      </c>
      <c r="J310" s="400">
        <f t="shared" si="12"/>
        <v>626999.99999999988</v>
      </c>
    </row>
    <row r="311" spans="1:10" ht="19.5">
      <c r="A311" s="83"/>
      <c r="B311" s="7" t="s">
        <v>5</v>
      </c>
      <c r="C311" s="11"/>
      <c r="D311" s="129"/>
      <c r="E311" s="378"/>
      <c r="F311" s="368">
        <f t="shared" si="14"/>
        <v>0</v>
      </c>
      <c r="G311" s="400"/>
      <c r="H311" s="400">
        <f t="shared" si="13"/>
        <v>0</v>
      </c>
      <c r="I311" s="400"/>
      <c r="J311" s="400">
        <f t="shared" si="12"/>
        <v>0</v>
      </c>
    </row>
    <row r="312" spans="1:10" ht="19.5">
      <c r="A312" s="82"/>
      <c r="B312" s="12"/>
      <c r="C312" s="8"/>
      <c r="D312" s="128"/>
      <c r="E312" s="368"/>
      <c r="F312" s="368">
        <f t="shared" si="14"/>
        <v>0</v>
      </c>
      <c r="G312" s="400"/>
      <c r="H312" s="400">
        <f t="shared" si="13"/>
        <v>0</v>
      </c>
      <c r="I312" s="400"/>
      <c r="J312" s="400">
        <f t="shared" si="12"/>
        <v>0</v>
      </c>
    </row>
    <row r="313" spans="1:10" ht="19.5">
      <c r="A313" s="209"/>
      <c r="B313" s="7" t="s">
        <v>33</v>
      </c>
      <c r="C313" s="8"/>
      <c r="D313" s="128"/>
      <c r="E313" s="368"/>
      <c r="F313" s="368">
        <f t="shared" si="14"/>
        <v>0</v>
      </c>
      <c r="G313" s="400"/>
      <c r="H313" s="400">
        <f t="shared" si="13"/>
        <v>0</v>
      </c>
      <c r="I313" s="400"/>
      <c r="J313" s="400">
        <f t="shared" si="12"/>
        <v>0</v>
      </c>
    </row>
    <row r="314" spans="1:10" ht="19.5">
      <c r="A314" s="82"/>
      <c r="B314" s="12" t="s">
        <v>34</v>
      </c>
      <c r="C314" s="8" t="s">
        <v>21</v>
      </c>
      <c r="D314" s="113">
        <f>D310/2</f>
        <v>1</v>
      </c>
      <c r="E314" s="368">
        <v>11969.999999999998</v>
      </c>
      <c r="F314" s="368">
        <f t="shared" si="14"/>
        <v>11969.999999999998</v>
      </c>
      <c r="G314" s="400">
        <v>10000</v>
      </c>
      <c r="H314" s="400">
        <f t="shared" si="13"/>
        <v>10000</v>
      </c>
      <c r="I314" s="400">
        <v>24000</v>
      </c>
      <c r="J314" s="400">
        <f t="shared" si="12"/>
        <v>24000</v>
      </c>
    </row>
    <row r="315" spans="1:10" ht="19.5">
      <c r="A315" s="82"/>
      <c r="B315" s="12" t="s">
        <v>7</v>
      </c>
      <c r="C315" s="8" t="s">
        <v>21</v>
      </c>
      <c r="D315" s="113">
        <f>+D314*4</f>
        <v>4</v>
      </c>
      <c r="E315" s="368">
        <v>8977.4999999999982</v>
      </c>
      <c r="F315" s="368">
        <f t="shared" si="14"/>
        <v>35909.999999999993</v>
      </c>
      <c r="G315" s="400">
        <v>5000</v>
      </c>
      <c r="H315" s="400">
        <f t="shared" si="13"/>
        <v>20000</v>
      </c>
      <c r="I315" s="400">
        <v>1500</v>
      </c>
      <c r="J315" s="400">
        <f t="shared" si="12"/>
        <v>6000</v>
      </c>
    </row>
    <row r="316" spans="1:10" ht="19.5">
      <c r="A316" s="83"/>
      <c r="B316" s="7" t="s">
        <v>39</v>
      </c>
      <c r="C316" s="11"/>
      <c r="D316" s="129"/>
      <c r="E316" s="378"/>
      <c r="F316" s="368">
        <f t="shared" si="14"/>
        <v>0</v>
      </c>
      <c r="G316" s="400"/>
      <c r="H316" s="400">
        <f t="shared" si="13"/>
        <v>0</v>
      </c>
      <c r="I316" s="400"/>
      <c r="J316" s="400">
        <f t="shared" si="12"/>
        <v>0</v>
      </c>
    </row>
    <row r="317" spans="1:10">
      <c r="A317" s="263"/>
      <c r="B317" s="46"/>
      <c r="C317" s="256"/>
      <c r="D317" s="264"/>
      <c r="E317" s="421"/>
      <c r="F317" s="368">
        <f t="shared" si="14"/>
        <v>0</v>
      </c>
      <c r="G317" s="400"/>
      <c r="H317" s="400">
        <f t="shared" si="13"/>
        <v>0</v>
      </c>
      <c r="I317" s="400"/>
      <c r="J317" s="400">
        <f t="shared" si="12"/>
        <v>0</v>
      </c>
    </row>
    <row r="318" spans="1:10" ht="36" customHeight="1">
      <c r="A318" s="262">
        <v>18</v>
      </c>
      <c r="B318" s="471" t="s">
        <v>132</v>
      </c>
      <c r="C318" s="471"/>
      <c r="D318" s="471"/>
      <c r="E318" s="420"/>
      <c r="F318" s="368">
        <f t="shared" si="14"/>
        <v>0</v>
      </c>
      <c r="G318" s="400"/>
      <c r="H318" s="400">
        <f t="shared" si="13"/>
        <v>0</v>
      </c>
      <c r="I318" s="400"/>
      <c r="J318" s="400">
        <f t="shared" si="12"/>
        <v>0</v>
      </c>
    </row>
    <row r="319" spans="1:10" ht="19.5">
      <c r="A319" s="1">
        <v>18.010000000000002</v>
      </c>
      <c r="B319" s="2" t="s">
        <v>165</v>
      </c>
      <c r="C319" s="247" t="s">
        <v>129</v>
      </c>
      <c r="D319" s="245">
        <v>1</v>
      </c>
      <c r="E319" s="380">
        <v>159705</v>
      </c>
      <c r="F319" s="367">
        <f t="shared" si="14"/>
        <v>159705</v>
      </c>
      <c r="G319" s="403"/>
      <c r="H319" s="403">
        <f t="shared" si="13"/>
        <v>0</v>
      </c>
      <c r="I319" s="403">
        <v>256800</v>
      </c>
      <c r="J319" s="403">
        <f t="shared" si="12"/>
        <v>256800</v>
      </c>
    </row>
    <row r="320" spans="1:10" ht="19.5">
      <c r="A320" s="208"/>
      <c r="B320" s="7" t="s">
        <v>29</v>
      </c>
      <c r="C320" s="8"/>
      <c r="D320" s="128"/>
      <c r="E320" s="368"/>
      <c r="F320" s="368">
        <f t="shared" si="14"/>
        <v>0</v>
      </c>
      <c r="G320" s="400"/>
      <c r="H320" s="400">
        <f t="shared" si="13"/>
        <v>0</v>
      </c>
      <c r="I320" s="400"/>
      <c r="J320" s="400">
        <f t="shared" si="12"/>
        <v>0</v>
      </c>
    </row>
    <row r="321" spans="1:10" ht="19.5">
      <c r="A321" s="82"/>
      <c r="B321" s="46" t="s">
        <v>163</v>
      </c>
      <c r="C321" s="229" t="s">
        <v>129</v>
      </c>
      <c r="D321" s="244">
        <v>1</v>
      </c>
      <c r="E321" s="422">
        <v>122850.00000000001</v>
      </c>
      <c r="F321" s="368">
        <f t="shared" si="14"/>
        <v>122850.00000000001</v>
      </c>
      <c r="G321" s="400">
        <v>90000</v>
      </c>
      <c r="H321" s="400">
        <f t="shared" si="13"/>
        <v>90000</v>
      </c>
      <c r="I321" s="400">
        <v>226800</v>
      </c>
      <c r="J321" s="400">
        <f t="shared" si="12"/>
        <v>226800</v>
      </c>
    </row>
    <row r="322" spans="1:10" ht="19.5">
      <c r="A322" s="82"/>
      <c r="B322" s="7" t="s">
        <v>5</v>
      </c>
      <c r="C322" s="11"/>
      <c r="D322" s="129"/>
      <c r="E322" s="378"/>
      <c r="F322" s="368">
        <f t="shared" si="14"/>
        <v>0</v>
      </c>
      <c r="G322" s="400"/>
      <c r="H322" s="400">
        <f t="shared" si="13"/>
        <v>0</v>
      </c>
      <c r="I322" s="400"/>
      <c r="J322" s="400">
        <f t="shared" si="12"/>
        <v>0</v>
      </c>
    </row>
    <row r="323" spans="1:10" ht="19.5">
      <c r="A323" s="209"/>
      <c r="B323" s="12"/>
      <c r="C323" s="8"/>
      <c r="D323" s="128"/>
      <c r="E323" s="368"/>
      <c r="F323" s="368">
        <f t="shared" si="14"/>
        <v>0</v>
      </c>
      <c r="G323" s="400"/>
      <c r="H323" s="400">
        <f t="shared" si="13"/>
        <v>0</v>
      </c>
      <c r="I323" s="400"/>
      <c r="J323" s="400">
        <f t="shared" si="12"/>
        <v>0</v>
      </c>
    </row>
    <row r="324" spans="1:10" ht="19.5">
      <c r="A324" s="82"/>
      <c r="B324" s="7" t="s">
        <v>33</v>
      </c>
      <c r="C324" s="8"/>
      <c r="D324" s="128"/>
      <c r="E324" s="368"/>
      <c r="F324" s="368">
        <f t="shared" si="14"/>
        <v>0</v>
      </c>
      <c r="G324" s="400"/>
      <c r="H324" s="400">
        <f t="shared" si="13"/>
        <v>0</v>
      </c>
      <c r="I324" s="400"/>
      <c r="J324" s="400">
        <f t="shared" si="12"/>
        <v>0</v>
      </c>
    </row>
    <row r="325" spans="1:10" ht="19.5">
      <c r="A325" s="82"/>
      <c r="B325" s="12" t="s">
        <v>34</v>
      </c>
      <c r="C325" s="8" t="s">
        <v>21</v>
      </c>
      <c r="D325" s="113">
        <f>D319/2</f>
        <v>0.5</v>
      </c>
      <c r="E325" s="368">
        <v>18427.5</v>
      </c>
      <c r="F325" s="368">
        <f t="shared" si="14"/>
        <v>9213.75</v>
      </c>
      <c r="G325" s="400">
        <v>10000</v>
      </c>
      <c r="H325" s="400">
        <f t="shared" si="13"/>
        <v>5000</v>
      </c>
      <c r="I325" s="400">
        <v>48000</v>
      </c>
      <c r="J325" s="400">
        <f t="shared" ref="J325:J326" si="15">D325*I325</f>
        <v>24000</v>
      </c>
    </row>
    <row r="326" spans="1:10" ht="19.5">
      <c r="A326" s="83"/>
      <c r="B326" s="12" t="s">
        <v>7</v>
      </c>
      <c r="C326" s="8" t="s">
        <v>21</v>
      </c>
      <c r="D326" s="113">
        <f>+D325*4</f>
        <v>2</v>
      </c>
      <c r="E326" s="368">
        <v>13820.625</v>
      </c>
      <c r="F326" s="368">
        <f t="shared" si="14"/>
        <v>27641.25</v>
      </c>
      <c r="G326" s="400">
        <v>5000</v>
      </c>
      <c r="H326" s="400">
        <f t="shared" si="13"/>
        <v>10000</v>
      </c>
      <c r="I326" s="400">
        <v>3000</v>
      </c>
      <c r="J326" s="400">
        <f t="shared" si="15"/>
        <v>6000</v>
      </c>
    </row>
    <row r="327" spans="1:10" ht="16.5">
      <c r="A327" s="258"/>
      <c r="B327" s="259" t="s">
        <v>39</v>
      </c>
      <c r="C327" s="223"/>
      <c r="D327" s="178"/>
      <c r="E327" s="378"/>
      <c r="F327" s="378"/>
      <c r="G327" s="400"/>
      <c r="H327" s="400"/>
      <c r="I327" s="400"/>
      <c r="J327" s="400"/>
    </row>
    <row r="328" spans="1:10" s="280" customFormat="1" ht="37.5">
      <c r="A328" s="279"/>
      <c r="B328" s="472" t="s">
        <v>177</v>
      </c>
      <c r="C328" s="472"/>
      <c r="D328" s="472"/>
      <c r="E328" s="423"/>
      <c r="F328" s="438">
        <f>F5+F9+F16+F24+F32+F42+F60+F80+F91+F102+F114+F127+F138+F149+F162+F173+F184+F198+F218+F237+F249+F261+F277+F290+F308+F319</f>
        <v>4831034.4065285083</v>
      </c>
      <c r="G328" s="413"/>
      <c r="H328" s="413">
        <f>SUM(H7:H327)</f>
        <v>5245870.309137878</v>
      </c>
      <c r="I328" s="413"/>
      <c r="J328" s="413">
        <f>J5+J9+J16+J24+J32+J42+J60+J80+J91+J102+J114+J127+J138+J149+J162+J173+J184+J198+J218+J237+J249+J261+J277+J290+J308+J319</f>
        <v>6055529.3441842282</v>
      </c>
    </row>
  </sheetData>
  <mergeCells count="17">
    <mergeCell ref="G2:H2"/>
    <mergeCell ref="I2:J2"/>
    <mergeCell ref="B307:D307"/>
    <mergeCell ref="B318:D318"/>
    <mergeCell ref="B328:D328"/>
    <mergeCell ref="B4:D4"/>
    <mergeCell ref="B15:D15"/>
    <mergeCell ref="B41:D41"/>
    <mergeCell ref="B79:D79"/>
    <mergeCell ref="B126:D126"/>
    <mergeCell ref="B289:D289"/>
    <mergeCell ref="B276:D276"/>
    <mergeCell ref="B248:D248"/>
    <mergeCell ref="B161:D161"/>
    <mergeCell ref="B183:D183"/>
    <mergeCell ref="B197:D197"/>
    <mergeCell ref="B217:D2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30"/>
  <sheetViews>
    <sheetView topLeftCell="A318" workbookViewId="0">
      <selection activeCell="H5" sqref="H5"/>
    </sheetView>
  </sheetViews>
  <sheetFormatPr defaultColWidth="8.85546875" defaultRowHeight="15.75"/>
  <cols>
    <col min="1" max="1" width="8.85546875" style="211"/>
    <col min="2" max="2" width="42.7109375" style="103" customWidth="1"/>
    <col min="3" max="3" width="8.85546875" style="105"/>
    <col min="4" max="4" width="14.85546875" style="135" customWidth="1"/>
    <col min="5" max="6" width="18.28515625" style="250" customWidth="1"/>
    <col min="7" max="7" width="11.5703125" customWidth="1"/>
    <col min="8" max="8" width="18.42578125" customWidth="1"/>
    <col min="9" max="9" width="11.7109375" customWidth="1"/>
    <col min="10" max="10" width="16.140625" customWidth="1"/>
  </cols>
  <sheetData>
    <row r="2" spans="1:10" ht="21">
      <c r="E2" s="469" t="s">
        <v>225</v>
      </c>
      <c r="F2" s="470"/>
      <c r="G2" s="477" t="s">
        <v>229</v>
      </c>
      <c r="H2" s="477"/>
      <c r="I2" s="477" t="s">
        <v>228</v>
      </c>
      <c r="J2" s="477"/>
    </row>
    <row r="3" spans="1:10" s="66" customFormat="1" ht="35.450000000000003" customHeight="1">
      <c r="A3" s="207"/>
      <c r="B3" s="139" t="s">
        <v>120</v>
      </c>
      <c r="C3" s="139" t="s">
        <v>121</v>
      </c>
      <c r="D3" s="139" t="s">
        <v>122</v>
      </c>
      <c r="E3" s="447" t="s">
        <v>227</v>
      </c>
      <c r="F3" s="447" t="s">
        <v>226</v>
      </c>
      <c r="G3" s="448" t="s">
        <v>227</v>
      </c>
      <c r="H3" s="449" t="s">
        <v>226</v>
      </c>
      <c r="I3" s="448" t="s">
        <v>227</v>
      </c>
      <c r="J3" s="449" t="s">
        <v>226</v>
      </c>
    </row>
    <row r="4" spans="1:10" ht="20.45" customHeight="1">
      <c r="A4" s="140">
        <v>1</v>
      </c>
      <c r="B4" s="473" t="s">
        <v>93</v>
      </c>
      <c r="C4" s="473"/>
      <c r="D4" s="473"/>
      <c r="E4" s="366"/>
      <c r="F4" s="366"/>
    </row>
    <row r="5" spans="1:10" ht="19.5" customHeight="1">
      <c r="A5" s="179">
        <v>1.01</v>
      </c>
      <c r="B5" s="15" t="s">
        <v>94</v>
      </c>
      <c r="C5" s="34" t="s">
        <v>28</v>
      </c>
      <c r="D5" s="120">
        <f>34*0.8*0.4</f>
        <v>10.880000000000003</v>
      </c>
      <c r="E5" s="367">
        <v>1555.5555555555557</v>
      </c>
      <c r="F5" s="367">
        <f>D5*E5</f>
        <v>16924.444444444449</v>
      </c>
      <c r="G5" s="403"/>
      <c r="H5" s="367">
        <f>SUBTOTAL(9,H6:H7)</f>
        <v>60444.44444444446</v>
      </c>
      <c r="I5" s="403">
        <v>10000</v>
      </c>
      <c r="J5" s="403">
        <f t="shared" ref="J5:J68" si="0">D5*I5</f>
        <v>108800.00000000003</v>
      </c>
    </row>
    <row r="6" spans="1:10" ht="19.5" customHeight="1">
      <c r="A6" s="180"/>
      <c r="B6" s="7" t="s">
        <v>6</v>
      </c>
      <c r="C6" s="8"/>
      <c r="D6" s="109"/>
      <c r="E6" s="368"/>
      <c r="F6" s="368"/>
      <c r="G6" s="400"/>
      <c r="H6" s="400"/>
      <c r="I6" s="400"/>
      <c r="J6" s="400">
        <f t="shared" si="0"/>
        <v>0</v>
      </c>
    </row>
    <row r="7" spans="1:10" ht="19.5" customHeight="1">
      <c r="A7" s="180"/>
      <c r="B7" s="12" t="s">
        <v>7</v>
      </c>
      <c r="C7" s="8" t="s">
        <v>8</v>
      </c>
      <c r="D7" s="113">
        <f>D5/0.9</f>
        <v>12.088888888888892</v>
      </c>
      <c r="E7" s="368">
        <v>1400</v>
      </c>
      <c r="F7" s="368">
        <f>D7*E7</f>
        <v>16924.444444444449</v>
      </c>
      <c r="G7" s="400">
        <v>5000</v>
      </c>
      <c r="H7" s="400">
        <f t="shared" ref="H7:H70" si="1">D7*G7</f>
        <v>60444.44444444446</v>
      </c>
      <c r="I7" s="400">
        <v>9000</v>
      </c>
      <c r="J7" s="400">
        <f t="shared" si="0"/>
        <v>108800.00000000003</v>
      </c>
    </row>
    <row r="8" spans="1:10" ht="19.5" customHeight="1">
      <c r="A8" s="159"/>
      <c r="B8" s="57" t="s">
        <v>9</v>
      </c>
      <c r="C8" s="58"/>
      <c r="D8" s="115"/>
      <c r="E8" s="369"/>
      <c r="F8" s="368">
        <f t="shared" ref="F8:F71" si="2">D8*E8</f>
        <v>0</v>
      </c>
      <c r="G8" s="400"/>
      <c r="H8" s="400">
        <f t="shared" si="1"/>
        <v>0</v>
      </c>
      <c r="I8" s="400"/>
      <c r="J8" s="400">
        <f t="shared" si="0"/>
        <v>0</v>
      </c>
    </row>
    <row r="9" spans="1:10" ht="19.5" customHeight="1">
      <c r="A9" s="179">
        <v>1.03</v>
      </c>
      <c r="B9" s="15" t="s">
        <v>114</v>
      </c>
      <c r="C9" s="34" t="s">
        <v>28</v>
      </c>
      <c r="D9" s="126">
        <f>(0.75*0.75*1.25)*8</f>
        <v>5.625</v>
      </c>
      <c r="E9" s="367">
        <v>1611.1111111111111</v>
      </c>
      <c r="F9" s="367">
        <f t="shared" si="2"/>
        <v>9062.5</v>
      </c>
      <c r="G9" s="403"/>
      <c r="H9" s="367">
        <f>SUBTOTAL(9,H10:H13)</f>
        <v>37500</v>
      </c>
      <c r="I9" s="403">
        <v>11111.111111111111</v>
      </c>
      <c r="J9" s="403">
        <f t="shared" si="0"/>
        <v>62500</v>
      </c>
    </row>
    <row r="10" spans="1:10" ht="19.5" customHeight="1">
      <c r="A10" s="180"/>
      <c r="B10" s="7" t="s">
        <v>6</v>
      </c>
      <c r="C10" s="8"/>
      <c r="D10" s="113"/>
      <c r="E10" s="368"/>
      <c r="F10" s="368">
        <f t="shared" si="2"/>
        <v>0</v>
      </c>
      <c r="G10" s="400"/>
      <c r="H10" s="400">
        <f t="shared" si="1"/>
        <v>0</v>
      </c>
      <c r="I10" s="400"/>
      <c r="J10" s="400">
        <f t="shared" si="0"/>
        <v>0</v>
      </c>
    </row>
    <row r="11" spans="1:10" ht="19.5" customHeight="1">
      <c r="A11" s="180"/>
      <c r="B11" s="12" t="s">
        <v>92</v>
      </c>
      <c r="C11" s="8" t="s">
        <v>8</v>
      </c>
      <c r="D11" s="113">
        <f>D12/10</f>
        <v>0.625</v>
      </c>
      <c r="E11" s="368">
        <v>2500</v>
      </c>
      <c r="F11" s="368">
        <f t="shared" si="2"/>
        <v>1562.5</v>
      </c>
      <c r="G11" s="400">
        <v>10000</v>
      </c>
      <c r="H11" s="400">
        <f t="shared" si="1"/>
        <v>6250</v>
      </c>
      <c r="I11" s="400">
        <v>10000</v>
      </c>
      <c r="J11" s="400">
        <f t="shared" si="0"/>
        <v>6250</v>
      </c>
    </row>
    <row r="12" spans="1:10" ht="19.5" customHeight="1">
      <c r="A12" s="180"/>
      <c r="B12" s="12" t="s">
        <v>7</v>
      </c>
      <c r="C12" s="8" t="s">
        <v>8</v>
      </c>
      <c r="D12" s="113">
        <f>D9/0.9</f>
        <v>6.25</v>
      </c>
      <c r="E12" s="368">
        <v>1200</v>
      </c>
      <c r="F12" s="368">
        <f t="shared" si="2"/>
        <v>7500</v>
      </c>
      <c r="G12" s="400">
        <v>5000</v>
      </c>
      <c r="H12" s="400">
        <f t="shared" si="1"/>
        <v>31250</v>
      </c>
      <c r="I12" s="400">
        <v>9000</v>
      </c>
      <c r="J12" s="400">
        <f t="shared" si="0"/>
        <v>56250</v>
      </c>
    </row>
    <row r="13" spans="1:10" ht="19.5" customHeight="1">
      <c r="A13" s="159"/>
      <c r="B13" s="57" t="s">
        <v>9</v>
      </c>
      <c r="C13" s="58"/>
      <c r="D13" s="110"/>
      <c r="E13" s="369"/>
      <c r="F13" s="368">
        <f t="shared" si="2"/>
        <v>0</v>
      </c>
      <c r="G13" s="400"/>
      <c r="H13" s="400">
        <f t="shared" si="1"/>
        <v>0</v>
      </c>
      <c r="I13" s="400"/>
      <c r="J13" s="400">
        <f t="shared" si="0"/>
        <v>0</v>
      </c>
    </row>
    <row r="14" spans="1:10" ht="19.5" customHeight="1">
      <c r="A14" s="181"/>
      <c r="B14" s="57"/>
      <c r="C14" s="42"/>
      <c r="D14" s="111"/>
      <c r="E14" s="370"/>
      <c r="F14" s="368">
        <f t="shared" si="2"/>
        <v>0</v>
      </c>
      <c r="G14" s="400"/>
      <c r="H14" s="400">
        <f t="shared" si="1"/>
        <v>0</v>
      </c>
      <c r="I14" s="400"/>
      <c r="J14" s="400">
        <f t="shared" si="0"/>
        <v>0</v>
      </c>
    </row>
    <row r="15" spans="1:10" ht="37.700000000000003" customHeight="1">
      <c r="A15" s="146">
        <v>2</v>
      </c>
      <c r="B15" s="467" t="s">
        <v>0</v>
      </c>
      <c r="C15" s="467"/>
      <c r="D15" s="467"/>
      <c r="E15" s="372"/>
      <c r="F15" s="368">
        <f t="shared" si="2"/>
        <v>0</v>
      </c>
      <c r="G15" s="400"/>
      <c r="H15" s="400">
        <f t="shared" si="1"/>
        <v>0</v>
      </c>
      <c r="I15" s="400"/>
      <c r="J15" s="400">
        <f t="shared" si="0"/>
        <v>0</v>
      </c>
    </row>
    <row r="16" spans="1:10" ht="19.5" customHeight="1">
      <c r="A16" s="182">
        <v>2.0099999999999998</v>
      </c>
      <c r="B16" s="2" t="s">
        <v>71</v>
      </c>
      <c r="C16" s="3" t="s">
        <v>1</v>
      </c>
      <c r="D16" s="112">
        <f>34*0.4</f>
        <v>13.600000000000001</v>
      </c>
      <c r="E16" s="371">
        <v>1008.3333333333333</v>
      </c>
      <c r="F16" s="367">
        <f t="shared" si="2"/>
        <v>13713.333333333334</v>
      </c>
      <c r="G16" s="403"/>
      <c r="H16" s="367">
        <f>SUBTOTAL(9,H17:H22)</f>
        <v>17453.333333333336</v>
      </c>
      <c r="I16" s="403">
        <v>2000</v>
      </c>
      <c r="J16" s="403">
        <f t="shared" si="0"/>
        <v>27200.000000000004</v>
      </c>
    </row>
    <row r="17" spans="1:10" ht="19.5" customHeight="1">
      <c r="A17" s="180"/>
      <c r="B17" s="7" t="s">
        <v>2</v>
      </c>
      <c r="C17" s="8"/>
      <c r="D17" s="113"/>
      <c r="E17" s="368"/>
      <c r="F17" s="368">
        <f t="shared" si="2"/>
        <v>0</v>
      </c>
      <c r="G17" s="400"/>
      <c r="H17" s="400">
        <f t="shared" si="1"/>
        <v>0</v>
      </c>
      <c r="I17" s="400"/>
      <c r="J17" s="400">
        <f t="shared" si="0"/>
        <v>0</v>
      </c>
    </row>
    <row r="18" spans="1:10" ht="19.5" customHeight="1">
      <c r="A18" s="180"/>
      <c r="B18" s="46" t="s">
        <v>3</v>
      </c>
      <c r="C18" s="8" t="s">
        <v>4</v>
      </c>
      <c r="D18" s="113">
        <f>D16/10</f>
        <v>1.36</v>
      </c>
      <c r="E18" s="368">
        <v>8500</v>
      </c>
      <c r="F18" s="368">
        <f t="shared" si="2"/>
        <v>11560</v>
      </c>
      <c r="G18" s="400">
        <v>12000</v>
      </c>
      <c r="H18" s="400">
        <f t="shared" si="1"/>
        <v>16320.000000000002</v>
      </c>
      <c r="I18" s="400">
        <v>18000</v>
      </c>
      <c r="J18" s="400">
        <f t="shared" si="0"/>
        <v>24480</v>
      </c>
    </row>
    <row r="19" spans="1:10" ht="19.5" customHeight="1">
      <c r="A19" s="155"/>
      <c r="B19" s="57" t="s">
        <v>5</v>
      </c>
      <c r="C19" s="11"/>
      <c r="D19" s="116"/>
      <c r="E19" s="378"/>
      <c r="F19" s="368">
        <f t="shared" si="2"/>
        <v>0</v>
      </c>
      <c r="G19" s="400"/>
      <c r="H19" s="400">
        <f t="shared" si="1"/>
        <v>0</v>
      </c>
      <c r="I19" s="400"/>
      <c r="J19" s="400">
        <f t="shared" si="0"/>
        <v>0</v>
      </c>
    </row>
    <row r="20" spans="1:10" ht="19.5" customHeight="1">
      <c r="A20" s="180"/>
      <c r="B20" s="46"/>
      <c r="C20" s="8"/>
      <c r="D20" s="113"/>
      <c r="E20" s="368"/>
      <c r="F20" s="368">
        <f t="shared" si="2"/>
        <v>0</v>
      </c>
      <c r="G20" s="400"/>
      <c r="H20" s="400">
        <f t="shared" si="1"/>
        <v>0</v>
      </c>
      <c r="I20" s="400"/>
      <c r="J20" s="400">
        <f t="shared" si="0"/>
        <v>0</v>
      </c>
    </row>
    <row r="21" spans="1:10" ht="19.5" customHeight="1">
      <c r="A21" s="180"/>
      <c r="B21" s="7" t="s">
        <v>6</v>
      </c>
      <c r="C21" s="8"/>
      <c r="D21" s="113"/>
      <c r="E21" s="368"/>
      <c r="F21" s="368">
        <f t="shared" si="2"/>
        <v>0</v>
      </c>
      <c r="G21" s="400"/>
      <c r="H21" s="400">
        <f t="shared" si="1"/>
        <v>0</v>
      </c>
      <c r="I21" s="400"/>
      <c r="J21" s="400">
        <f t="shared" si="0"/>
        <v>0</v>
      </c>
    </row>
    <row r="22" spans="1:10" ht="19.5" customHeight="1">
      <c r="A22" s="180"/>
      <c r="B22" s="12" t="s">
        <v>7</v>
      </c>
      <c r="C22" s="8" t="s">
        <v>8</v>
      </c>
      <c r="D22" s="113">
        <f>D16/60</f>
        <v>0.22666666666666668</v>
      </c>
      <c r="E22" s="368">
        <v>9500</v>
      </c>
      <c r="F22" s="368">
        <f t="shared" si="2"/>
        <v>2153.3333333333335</v>
      </c>
      <c r="G22" s="400">
        <v>5000</v>
      </c>
      <c r="H22" s="400">
        <f t="shared" si="1"/>
        <v>1133.3333333333335</v>
      </c>
      <c r="I22" s="400">
        <v>12000</v>
      </c>
      <c r="J22" s="400">
        <f t="shared" si="0"/>
        <v>2720</v>
      </c>
    </row>
    <row r="23" spans="1:10" ht="19.5" customHeight="1">
      <c r="A23" s="159"/>
      <c r="B23" s="57" t="s">
        <v>9</v>
      </c>
      <c r="C23" s="58"/>
      <c r="D23" s="115"/>
      <c r="E23" s="369"/>
      <c r="F23" s="368">
        <f t="shared" si="2"/>
        <v>0</v>
      </c>
      <c r="G23" s="400"/>
      <c r="H23" s="400">
        <f t="shared" si="1"/>
        <v>0</v>
      </c>
      <c r="I23" s="400"/>
      <c r="J23" s="400">
        <f t="shared" si="0"/>
        <v>0</v>
      </c>
    </row>
    <row r="24" spans="1:10" ht="19.5" customHeight="1">
      <c r="A24" s="182">
        <v>2.02</v>
      </c>
      <c r="B24" s="2" t="s">
        <v>97</v>
      </c>
      <c r="C24" s="3" t="s">
        <v>1</v>
      </c>
      <c r="D24" s="112">
        <v>72</v>
      </c>
      <c r="E24" s="371">
        <v>741.66666666666663</v>
      </c>
      <c r="F24" s="367">
        <f t="shared" si="2"/>
        <v>53400</v>
      </c>
      <c r="G24" s="403"/>
      <c r="H24" s="367">
        <f>SUBTOTAL(9,H25:H30)</f>
        <v>92400</v>
      </c>
      <c r="I24" s="403">
        <v>2000</v>
      </c>
      <c r="J24" s="403">
        <f t="shared" si="0"/>
        <v>144000</v>
      </c>
    </row>
    <row r="25" spans="1:10" ht="19.5" customHeight="1">
      <c r="A25" s="180"/>
      <c r="B25" s="7" t="s">
        <v>2</v>
      </c>
      <c r="C25" s="8"/>
      <c r="D25" s="113"/>
      <c r="E25" s="368"/>
      <c r="F25" s="368">
        <f t="shared" si="2"/>
        <v>0</v>
      </c>
      <c r="G25" s="400"/>
      <c r="H25" s="400">
        <f t="shared" si="1"/>
        <v>0</v>
      </c>
      <c r="I25" s="400"/>
      <c r="J25" s="400">
        <f t="shared" si="0"/>
        <v>0</v>
      </c>
    </row>
    <row r="26" spans="1:10" ht="19.5" customHeight="1">
      <c r="A26" s="180"/>
      <c r="B26" s="46" t="s">
        <v>3</v>
      </c>
      <c r="C26" s="8" t="s">
        <v>4</v>
      </c>
      <c r="D26" s="113">
        <f>D24/10</f>
        <v>7.2</v>
      </c>
      <c r="E26" s="368">
        <v>6500</v>
      </c>
      <c r="F26" s="368">
        <f t="shared" si="2"/>
        <v>46800</v>
      </c>
      <c r="G26" s="400">
        <v>12000</v>
      </c>
      <c r="H26" s="400">
        <f t="shared" si="1"/>
        <v>86400</v>
      </c>
      <c r="I26" s="400">
        <v>18000</v>
      </c>
      <c r="J26" s="400">
        <f t="shared" si="0"/>
        <v>129600</v>
      </c>
    </row>
    <row r="27" spans="1:10" ht="19.5" customHeight="1">
      <c r="A27" s="155"/>
      <c r="B27" s="57" t="s">
        <v>5</v>
      </c>
      <c r="C27" s="11"/>
      <c r="D27" s="116"/>
      <c r="E27" s="378"/>
      <c r="F27" s="368">
        <f t="shared" si="2"/>
        <v>0</v>
      </c>
      <c r="G27" s="400"/>
      <c r="H27" s="400">
        <f t="shared" si="1"/>
        <v>0</v>
      </c>
      <c r="I27" s="400"/>
      <c r="J27" s="400">
        <f t="shared" si="0"/>
        <v>0</v>
      </c>
    </row>
    <row r="28" spans="1:10" ht="19.5" customHeight="1">
      <c r="A28" s="180"/>
      <c r="B28" s="46"/>
      <c r="C28" s="8"/>
      <c r="D28" s="113"/>
      <c r="E28" s="368"/>
      <c r="F28" s="368">
        <f t="shared" si="2"/>
        <v>0</v>
      </c>
      <c r="G28" s="400"/>
      <c r="H28" s="400">
        <f t="shared" si="1"/>
        <v>0</v>
      </c>
      <c r="I28" s="400"/>
      <c r="J28" s="400">
        <f t="shared" si="0"/>
        <v>0</v>
      </c>
    </row>
    <row r="29" spans="1:10" ht="19.5" customHeight="1">
      <c r="A29" s="180"/>
      <c r="B29" s="7" t="s">
        <v>6</v>
      </c>
      <c r="C29" s="8"/>
      <c r="D29" s="113"/>
      <c r="E29" s="368"/>
      <c r="F29" s="368">
        <f t="shared" si="2"/>
        <v>0</v>
      </c>
      <c r="G29" s="400"/>
      <c r="H29" s="400">
        <f t="shared" si="1"/>
        <v>0</v>
      </c>
      <c r="I29" s="400"/>
      <c r="J29" s="400">
        <f t="shared" si="0"/>
        <v>0</v>
      </c>
    </row>
    <row r="30" spans="1:10" ht="19.5" customHeight="1">
      <c r="A30" s="180"/>
      <c r="B30" s="12" t="s">
        <v>7</v>
      </c>
      <c r="C30" s="8" t="s">
        <v>8</v>
      </c>
      <c r="D30" s="113">
        <f>D24/60</f>
        <v>1.2</v>
      </c>
      <c r="E30" s="368">
        <v>5500</v>
      </c>
      <c r="F30" s="368">
        <f t="shared" si="2"/>
        <v>6600</v>
      </c>
      <c r="G30" s="400">
        <v>5000</v>
      </c>
      <c r="H30" s="400">
        <f t="shared" si="1"/>
        <v>6000</v>
      </c>
      <c r="I30" s="400">
        <v>12000</v>
      </c>
      <c r="J30" s="400">
        <f t="shared" si="0"/>
        <v>14400</v>
      </c>
    </row>
    <row r="31" spans="1:10" ht="19.5" customHeight="1">
      <c r="A31" s="159"/>
      <c r="B31" s="57" t="s">
        <v>9</v>
      </c>
      <c r="C31" s="58"/>
      <c r="D31" s="115"/>
      <c r="E31" s="369"/>
      <c r="F31" s="368">
        <f t="shared" si="2"/>
        <v>0</v>
      </c>
      <c r="G31" s="400"/>
      <c r="H31" s="400">
        <f t="shared" si="1"/>
        <v>0</v>
      </c>
      <c r="I31" s="400"/>
      <c r="J31" s="400">
        <f t="shared" si="0"/>
        <v>0</v>
      </c>
    </row>
    <row r="32" spans="1:10" ht="19.5" customHeight="1">
      <c r="A32" s="179">
        <v>2.0299999999999998</v>
      </c>
      <c r="B32" s="15" t="s">
        <v>96</v>
      </c>
      <c r="C32" s="34" t="s">
        <v>1</v>
      </c>
      <c r="D32" s="120">
        <f>(0.75*0.75)*8</f>
        <v>4.5</v>
      </c>
      <c r="E32" s="367">
        <v>941.66666666666663</v>
      </c>
      <c r="F32" s="367">
        <f t="shared" si="2"/>
        <v>4237.5</v>
      </c>
      <c r="G32" s="403"/>
      <c r="H32" s="367">
        <f>SUBTOTAL(9,H33:H40)</f>
        <v>5775</v>
      </c>
      <c r="I32" s="403">
        <v>2000</v>
      </c>
      <c r="J32" s="403">
        <f t="shared" si="0"/>
        <v>9000</v>
      </c>
    </row>
    <row r="33" spans="1:10" ht="19.5" customHeight="1">
      <c r="A33" s="180"/>
      <c r="B33" s="7" t="s">
        <v>2</v>
      </c>
      <c r="C33" s="8"/>
      <c r="D33" s="113"/>
      <c r="E33" s="368"/>
      <c r="F33" s="368">
        <f t="shared" si="2"/>
        <v>0</v>
      </c>
      <c r="G33" s="400"/>
      <c r="H33" s="400">
        <f t="shared" si="1"/>
        <v>0</v>
      </c>
      <c r="I33" s="400"/>
      <c r="J33" s="400">
        <f t="shared" si="0"/>
        <v>0</v>
      </c>
    </row>
    <row r="34" spans="1:10" ht="19.5" customHeight="1">
      <c r="A34" s="180"/>
      <c r="B34" s="46" t="s">
        <v>3</v>
      </c>
      <c r="C34" s="8" t="s">
        <v>4</v>
      </c>
      <c r="D34" s="113">
        <f>D32/10</f>
        <v>0.45</v>
      </c>
      <c r="E34" s="368">
        <v>8500</v>
      </c>
      <c r="F34" s="368">
        <f t="shared" si="2"/>
        <v>3825</v>
      </c>
      <c r="G34" s="400">
        <v>12000</v>
      </c>
      <c r="H34" s="400">
        <f t="shared" si="1"/>
        <v>5400</v>
      </c>
      <c r="I34" s="400">
        <v>18000</v>
      </c>
      <c r="J34" s="400">
        <f t="shared" si="0"/>
        <v>8100</v>
      </c>
    </row>
    <row r="35" spans="1:10" ht="19.5" customHeight="1">
      <c r="A35" s="155"/>
      <c r="B35" s="57" t="s">
        <v>5</v>
      </c>
      <c r="C35" s="11"/>
      <c r="D35" s="116"/>
      <c r="E35" s="378"/>
      <c r="F35" s="368">
        <f t="shared" si="2"/>
        <v>0</v>
      </c>
      <c r="G35" s="400"/>
      <c r="H35" s="400">
        <f t="shared" si="1"/>
        <v>0</v>
      </c>
      <c r="I35" s="400"/>
      <c r="J35" s="400">
        <f t="shared" si="0"/>
        <v>0</v>
      </c>
    </row>
    <row r="36" spans="1:10" ht="19.5" customHeight="1">
      <c r="A36" s="155"/>
      <c r="B36" s="57"/>
      <c r="C36" s="11"/>
      <c r="D36" s="116"/>
      <c r="E36" s="378"/>
      <c r="F36" s="368">
        <f t="shared" si="2"/>
        <v>0</v>
      </c>
      <c r="G36" s="400"/>
      <c r="H36" s="400">
        <f t="shared" si="1"/>
        <v>0</v>
      </c>
      <c r="I36" s="400"/>
      <c r="J36" s="400">
        <f t="shared" si="0"/>
        <v>0</v>
      </c>
    </row>
    <row r="37" spans="1:10" ht="19.5" customHeight="1">
      <c r="A37" s="180"/>
      <c r="B37" s="7" t="s">
        <v>6</v>
      </c>
      <c r="C37" s="8"/>
      <c r="D37" s="113"/>
      <c r="E37" s="368"/>
      <c r="F37" s="368">
        <f t="shared" si="2"/>
        <v>0</v>
      </c>
      <c r="G37" s="400"/>
      <c r="H37" s="400">
        <f t="shared" si="1"/>
        <v>0</v>
      </c>
      <c r="I37" s="400"/>
      <c r="J37" s="400">
        <f t="shared" si="0"/>
        <v>0</v>
      </c>
    </row>
    <row r="38" spans="1:10" ht="19.5" customHeight="1">
      <c r="A38" s="180"/>
      <c r="B38" s="12" t="s">
        <v>7</v>
      </c>
      <c r="C38" s="8" t="s">
        <v>8</v>
      </c>
      <c r="D38" s="113">
        <f>D32/60</f>
        <v>7.4999999999999997E-2</v>
      </c>
      <c r="E38" s="368">
        <v>5500</v>
      </c>
      <c r="F38" s="368">
        <f t="shared" si="2"/>
        <v>412.5</v>
      </c>
      <c r="G38" s="400">
        <v>5000</v>
      </c>
      <c r="H38" s="400">
        <f t="shared" si="1"/>
        <v>375</v>
      </c>
      <c r="I38" s="400">
        <v>12000</v>
      </c>
      <c r="J38" s="400">
        <f t="shared" si="0"/>
        <v>900</v>
      </c>
    </row>
    <row r="39" spans="1:10" ht="19.5" customHeight="1">
      <c r="A39" s="159"/>
      <c r="B39" s="57" t="s">
        <v>9</v>
      </c>
      <c r="C39" s="58"/>
      <c r="D39" s="115"/>
      <c r="E39" s="369"/>
      <c r="F39" s="368">
        <f t="shared" si="2"/>
        <v>0</v>
      </c>
      <c r="G39" s="400"/>
      <c r="H39" s="400">
        <f t="shared" si="1"/>
        <v>0</v>
      </c>
      <c r="I39" s="400"/>
      <c r="J39" s="400">
        <f t="shared" si="0"/>
        <v>0</v>
      </c>
    </row>
    <row r="40" spans="1:10" ht="19.5" customHeight="1">
      <c r="A40" s="159"/>
      <c r="B40" s="57"/>
      <c r="C40" s="58"/>
      <c r="D40" s="110"/>
      <c r="E40" s="369"/>
      <c r="F40" s="368">
        <f t="shared" si="2"/>
        <v>0</v>
      </c>
      <c r="G40" s="400"/>
      <c r="H40" s="400">
        <f t="shared" si="1"/>
        <v>0</v>
      </c>
      <c r="I40" s="400"/>
      <c r="J40" s="400">
        <f t="shared" si="0"/>
        <v>0</v>
      </c>
    </row>
    <row r="41" spans="1:10" ht="19.5" customHeight="1">
      <c r="A41" s="149">
        <v>3</v>
      </c>
      <c r="B41" s="474" t="s">
        <v>77</v>
      </c>
      <c r="C41" s="474"/>
      <c r="D41" s="474"/>
      <c r="E41" s="372"/>
      <c r="F41" s="368">
        <f t="shared" si="2"/>
        <v>0</v>
      </c>
      <c r="G41" s="400"/>
      <c r="H41" s="400">
        <f t="shared" si="1"/>
        <v>0</v>
      </c>
      <c r="I41" s="400"/>
      <c r="J41" s="400">
        <f t="shared" si="0"/>
        <v>0</v>
      </c>
    </row>
    <row r="42" spans="1:10" ht="19.5" customHeight="1">
      <c r="A42" s="179">
        <v>3.01</v>
      </c>
      <c r="B42" s="15" t="s">
        <v>71</v>
      </c>
      <c r="C42" s="3" t="s">
        <v>1</v>
      </c>
      <c r="D42" s="112">
        <f>34*0.4</f>
        <v>13.600000000000001</v>
      </c>
      <c r="E42" s="371">
        <v>4468.2969230769249</v>
      </c>
      <c r="F42" s="367">
        <f t="shared" si="2"/>
        <v>60768.838153846184</v>
      </c>
      <c r="G42" s="403"/>
      <c r="H42" s="367">
        <f>SUBTOTAL(9,H43:H58)</f>
        <v>81729.583589743619</v>
      </c>
      <c r="I42" s="403">
        <v>9007.2489230769243</v>
      </c>
      <c r="J42" s="403">
        <f t="shared" si="0"/>
        <v>122498.58535384618</v>
      </c>
    </row>
    <row r="43" spans="1:10" ht="19.5" customHeight="1">
      <c r="A43" s="183"/>
      <c r="B43" s="18"/>
      <c r="C43" s="19" t="s">
        <v>10</v>
      </c>
      <c r="D43" s="130">
        <f>D42*0.05</f>
        <v>0.68000000000000016</v>
      </c>
      <c r="E43" s="373">
        <v>89365.938461538477</v>
      </c>
      <c r="F43" s="368">
        <f t="shared" si="2"/>
        <v>60768.838153846176</v>
      </c>
      <c r="G43" s="400"/>
      <c r="H43" s="400">
        <f t="shared" si="1"/>
        <v>0</v>
      </c>
      <c r="I43" s="400">
        <v>180140</v>
      </c>
      <c r="J43" s="400">
        <f t="shared" si="0"/>
        <v>122495.20000000003</v>
      </c>
    </row>
    <row r="44" spans="1:10" ht="19.5" customHeight="1">
      <c r="A44" s="184"/>
      <c r="B44" s="93" t="s">
        <v>2</v>
      </c>
      <c r="C44" s="22"/>
      <c r="D44" s="113"/>
      <c r="E44" s="374"/>
      <c r="F44" s="368">
        <f t="shared" si="2"/>
        <v>0</v>
      </c>
      <c r="G44" s="400"/>
      <c r="H44" s="400">
        <f t="shared" si="1"/>
        <v>0</v>
      </c>
      <c r="I44" s="400"/>
      <c r="J44" s="400">
        <f t="shared" si="0"/>
        <v>0</v>
      </c>
    </row>
    <row r="45" spans="1:10" ht="19.5" customHeight="1">
      <c r="A45" s="184"/>
      <c r="B45" s="94" t="s">
        <v>11</v>
      </c>
      <c r="C45" s="22" t="s">
        <v>12</v>
      </c>
      <c r="D45" s="113">
        <f>D43*(1/13)*1.57*(1440/50)</f>
        <v>2.3651446153846161</v>
      </c>
      <c r="E45" s="374">
        <v>11200</v>
      </c>
      <c r="F45" s="368">
        <f t="shared" si="2"/>
        <v>26489.6196923077</v>
      </c>
      <c r="G45" s="400">
        <v>14000</v>
      </c>
      <c r="H45" s="400">
        <f t="shared" si="1"/>
        <v>33112.024615384624</v>
      </c>
      <c r="I45" s="400">
        <v>13500</v>
      </c>
      <c r="J45" s="400">
        <f t="shared" si="0"/>
        <v>31929.452307692318</v>
      </c>
    </row>
    <row r="46" spans="1:10" ht="19.5" customHeight="1">
      <c r="A46" s="184"/>
      <c r="B46" s="94" t="s">
        <v>13</v>
      </c>
      <c r="C46" s="22" t="s">
        <v>10</v>
      </c>
      <c r="D46" s="113">
        <f>D43*(4/13)*1.57</f>
        <v>0.32849230769230781</v>
      </c>
      <c r="E46" s="374">
        <v>30500</v>
      </c>
      <c r="F46" s="368">
        <f t="shared" si="2"/>
        <v>10019.015384615388</v>
      </c>
      <c r="G46" s="400">
        <v>25000</v>
      </c>
      <c r="H46" s="400">
        <f t="shared" si="1"/>
        <v>8212.3076923076951</v>
      </c>
      <c r="I46" s="400">
        <v>40000</v>
      </c>
      <c r="J46" s="400">
        <f t="shared" si="0"/>
        <v>13139.692307692312</v>
      </c>
    </row>
    <row r="47" spans="1:10" ht="19.5" customHeight="1">
      <c r="A47" s="184"/>
      <c r="B47" s="94" t="s">
        <v>14</v>
      </c>
      <c r="C47" s="22" t="s">
        <v>10</v>
      </c>
      <c r="D47" s="113">
        <f>D43*(8/13)*1.57</f>
        <v>0.65698461538461561</v>
      </c>
      <c r="E47" s="374">
        <v>32300</v>
      </c>
      <c r="F47" s="368">
        <f t="shared" si="2"/>
        <v>21220.603076923086</v>
      </c>
      <c r="G47" s="400">
        <v>27000</v>
      </c>
      <c r="H47" s="400">
        <f t="shared" si="1"/>
        <v>17738.584615384621</v>
      </c>
      <c r="I47" s="400">
        <v>48312</v>
      </c>
      <c r="J47" s="400">
        <f t="shared" si="0"/>
        <v>31740.240738461551</v>
      </c>
    </row>
    <row r="48" spans="1:10" ht="19.5" customHeight="1">
      <c r="A48" s="184"/>
      <c r="B48" s="94" t="s">
        <v>15</v>
      </c>
      <c r="C48" s="22" t="s">
        <v>16</v>
      </c>
      <c r="D48" s="113">
        <f>D52*10</f>
        <v>1.1333333333333335</v>
      </c>
      <c r="E48" s="374">
        <v>2200</v>
      </c>
      <c r="F48" s="368">
        <f t="shared" si="2"/>
        <v>2493.3333333333339</v>
      </c>
      <c r="G48" s="400">
        <v>2000</v>
      </c>
      <c r="H48" s="400">
        <f t="shared" si="1"/>
        <v>2266.666666666667</v>
      </c>
      <c r="I48" s="400">
        <v>2000</v>
      </c>
      <c r="J48" s="400">
        <f t="shared" si="0"/>
        <v>2266.666666666667</v>
      </c>
    </row>
    <row r="49" spans="1:10" ht="19.5" customHeight="1">
      <c r="A49" s="153"/>
      <c r="B49" s="93" t="s">
        <v>18</v>
      </c>
      <c r="C49" s="27"/>
      <c r="D49" s="116"/>
      <c r="E49" s="381"/>
      <c r="F49" s="368">
        <f t="shared" si="2"/>
        <v>0</v>
      </c>
      <c r="G49" s="400"/>
      <c r="H49" s="400">
        <f t="shared" si="1"/>
        <v>0</v>
      </c>
      <c r="I49" s="400"/>
      <c r="J49" s="400">
        <f t="shared" si="0"/>
        <v>0</v>
      </c>
    </row>
    <row r="50" spans="1:10" ht="19.5" customHeight="1">
      <c r="A50" s="184"/>
      <c r="B50" s="94"/>
      <c r="C50" s="22"/>
      <c r="D50" s="113"/>
      <c r="E50" s="374"/>
      <c r="F50" s="368">
        <f t="shared" si="2"/>
        <v>0</v>
      </c>
      <c r="G50" s="400"/>
      <c r="H50" s="400">
        <f t="shared" si="1"/>
        <v>0</v>
      </c>
      <c r="I50" s="400"/>
      <c r="J50" s="400">
        <f t="shared" si="0"/>
        <v>0</v>
      </c>
    </row>
    <row r="51" spans="1:10" ht="19.5" customHeight="1">
      <c r="A51" s="184"/>
      <c r="B51" s="93" t="s">
        <v>19</v>
      </c>
      <c r="C51" s="22"/>
      <c r="D51" s="113"/>
      <c r="E51" s="374"/>
      <c r="F51" s="368">
        <f t="shared" si="2"/>
        <v>0</v>
      </c>
      <c r="G51" s="400"/>
      <c r="H51" s="400">
        <f t="shared" si="1"/>
        <v>0</v>
      </c>
      <c r="I51" s="400"/>
      <c r="J51" s="400">
        <f t="shared" si="0"/>
        <v>0</v>
      </c>
    </row>
    <row r="52" spans="1:10" ht="19.5" customHeight="1">
      <c r="A52" s="184"/>
      <c r="B52" s="94" t="s">
        <v>20</v>
      </c>
      <c r="C52" s="22" t="s">
        <v>21</v>
      </c>
      <c r="D52" s="113">
        <f>D43/6</f>
        <v>0.11333333333333336</v>
      </c>
      <c r="E52" s="374">
        <v>450</v>
      </c>
      <c r="F52" s="368">
        <f t="shared" si="2"/>
        <v>51.000000000000007</v>
      </c>
      <c r="G52" s="400">
        <v>50000</v>
      </c>
      <c r="H52" s="400">
        <f t="shared" si="1"/>
        <v>5666.6666666666679</v>
      </c>
      <c r="I52" s="400">
        <v>80000</v>
      </c>
      <c r="J52" s="400">
        <f t="shared" si="0"/>
        <v>9066.6666666666679</v>
      </c>
    </row>
    <row r="53" spans="1:10" ht="19.5" customHeight="1">
      <c r="A53" s="153"/>
      <c r="B53" s="93" t="s">
        <v>23</v>
      </c>
      <c r="C53" s="27"/>
      <c r="D53" s="116"/>
      <c r="E53" s="381"/>
      <c r="F53" s="368">
        <f t="shared" si="2"/>
        <v>0</v>
      </c>
      <c r="G53" s="400"/>
      <c r="H53" s="400">
        <f t="shared" si="1"/>
        <v>0</v>
      </c>
      <c r="I53" s="400"/>
      <c r="J53" s="400">
        <f t="shared" si="0"/>
        <v>0</v>
      </c>
    </row>
    <row r="54" spans="1:10" ht="19.5" customHeight="1">
      <c r="A54" s="184"/>
      <c r="B54" s="94"/>
      <c r="C54" s="22"/>
      <c r="D54" s="113"/>
      <c r="E54" s="374"/>
      <c r="F54" s="368">
        <f t="shared" si="2"/>
        <v>0</v>
      </c>
      <c r="G54" s="400"/>
      <c r="H54" s="400">
        <f t="shared" si="1"/>
        <v>0</v>
      </c>
      <c r="I54" s="400"/>
      <c r="J54" s="400">
        <f t="shared" si="0"/>
        <v>0</v>
      </c>
    </row>
    <row r="55" spans="1:10" ht="19.5" customHeight="1">
      <c r="A55" s="184"/>
      <c r="B55" s="93" t="s">
        <v>6</v>
      </c>
      <c r="C55" s="22"/>
      <c r="D55" s="113"/>
      <c r="E55" s="374"/>
      <c r="F55" s="368">
        <f t="shared" si="2"/>
        <v>0</v>
      </c>
      <c r="G55" s="400"/>
      <c r="H55" s="400">
        <f t="shared" si="1"/>
        <v>0</v>
      </c>
      <c r="I55" s="400"/>
      <c r="J55" s="400">
        <f t="shared" si="0"/>
        <v>0</v>
      </c>
    </row>
    <row r="56" spans="1:10" ht="19.5" customHeight="1">
      <c r="A56" s="184"/>
      <c r="B56" s="94" t="s">
        <v>24</v>
      </c>
      <c r="C56" s="22" t="s">
        <v>21</v>
      </c>
      <c r="D56" s="113">
        <f>(D43/6)*2</f>
        <v>0.22666666666666671</v>
      </c>
      <c r="E56" s="374">
        <v>500</v>
      </c>
      <c r="F56" s="368">
        <f t="shared" si="2"/>
        <v>113.33333333333336</v>
      </c>
      <c r="G56" s="400">
        <v>10000</v>
      </c>
      <c r="H56" s="400">
        <f t="shared" si="1"/>
        <v>2266.666666666667</v>
      </c>
      <c r="I56" s="400">
        <v>90000</v>
      </c>
      <c r="J56" s="400">
        <f t="shared" si="0"/>
        <v>20400.000000000004</v>
      </c>
    </row>
    <row r="57" spans="1:10" ht="19.5" customHeight="1">
      <c r="A57" s="184"/>
      <c r="B57" s="94" t="s">
        <v>25</v>
      </c>
      <c r="C57" s="22" t="s">
        <v>21</v>
      </c>
      <c r="D57" s="113">
        <f>(D43/6)*18</f>
        <v>2.0400000000000005</v>
      </c>
      <c r="E57" s="374">
        <v>180</v>
      </c>
      <c r="F57" s="368">
        <f t="shared" si="2"/>
        <v>367.2000000000001</v>
      </c>
      <c r="G57" s="400">
        <v>5000</v>
      </c>
      <c r="H57" s="400">
        <f t="shared" si="1"/>
        <v>10200.000000000002</v>
      </c>
      <c r="I57" s="400">
        <v>5730</v>
      </c>
      <c r="J57" s="400">
        <f t="shared" si="0"/>
        <v>11689.200000000003</v>
      </c>
    </row>
    <row r="58" spans="1:10" ht="19.5" customHeight="1">
      <c r="A58" s="184"/>
      <c r="B58" s="94" t="s">
        <v>26</v>
      </c>
      <c r="C58" s="22" t="s">
        <v>21</v>
      </c>
      <c r="D58" s="113">
        <f>D52</f>
        <v>0.11333333333333336</v>
      </c>
      <c r="E58" s="374">
        <v>130</v>
      </c>
      <c r="F58" s="368">
        <f t="shared" si="2"/>
        <v>14.733333333333336</v>
      </c>
      <c r="G58" s="400">
        <v>20000</v>
      </c>
      <c r="H58" s="400">
        <f t="shared" si="1"/>
        <v>2266.666666666667</v>
      </c>
      <c r="I58" s="400">
        <v>20000</v>
      </c>
      <c r="J58" s="400">
        <f t="shared" si="0"/>
        <v>2266.666666666667</v>
      </c>
    </row>
    <row r="59" spans="1:10" ht="19.5" customHeight="1">
      <c r="A59" s="153"/>
      <c r="B59" s="93" t="s">
        <v>27</v>
      </c>
      <c r="C59" s="27"/>
      <c r="D59" s="116"/>
      <c r="E59" s="381"/>
      <c r="F59" s="368">
        <f t="shared" si="2"/>
        <v>0</v>
      </c>
      <c r="G59" s="400"/>
      <c r="H59" s="400">
        <f t="shared" si="1"/>
        <v>0</v>
      </c>
      <c r="I59" s="400"/>
      <c r="J59" s="400">
        <f t="shared" si="0"/>
        <v>0</v>
      </c>
    </row>
    <row r="60" spans="1:10" ht="19.5" customHeight="1">
      <c r="A60" s="179">
        <v>3.02</v>
      </c>
      <c r="B60" s="15" t="s">
        <v>98</v>
      </c>
      <c r="C60" s="3" t="s">
        <v>1</v>
      </c>
      <c r="D60" s="112">
        <f>(0.75*0.75)*8</f>
        <v>4.5</v>
      </c>
      <c r="E60" s="371">
        <v>4564.8802564102562</v>
      </c>
      <c r="F60" s="367">
        <f t="shared" si="2"/>
        <v>20541.961153846154</v>
      </c>
      <c r="G60" s="403"/>
      <c r="H60" s="367">
        <f>SUBTOTAL(9,H61:H78)</f>
        <v>27042.876923076925</v>
      </c>
      <c r="I60" s="403">
        <v>8522.81558974359</v>
      </c>
      <c r="J60" s="403">
        <f t="shared" si="0"/>
        <v>38352.670153846157</v>
      </c>
    </row>
    <row r="61" spans="1:10" ht="19.5" customHeight="1">
      <c r="A61" s="183"/>
      <c r="B61" s="18"/>
      <c r="C61" s="19" t="s">
        <v>10</v>
      </c>
      <c r="D61" s="130">
        <f>D60*0.05</f>
        <v>0.22500000000000001</v>
      </c>
      <c r="E61" s="373">
        <v>91297.605128205134</v>
      </c>
      <c r="F61" s="368">
        <f t="shared" si="2"/>
        <v>20541.961153846154</v>
      </c>
      <c r="G61" s="400"/>
      <c r="H61" s="400">
        <f t="shared" si="1"/>
        <v>0</v>
      </c>
      <c r="I61" s="400">
        <v>170454</v>
      </c>
      <c r="J61" s="400">
        <f t="shared" si="0"/>
        <v>38352.15</v>
      </c>
    </row>
    <row r="62" spans="1:10" ht="19.5" customHeight="1">
      <c r="A62" s="184"/>
      <c r="B62" s="93" t="s">
        <v>2</v>
      </c>
      <c r="C62" s="22"/>
      <c r="D62" s="113"/>
      <c r="E62" s="374"/>
      <c r="F62" s="368">
        <f t="shared" si="2"/>
        <v>0</v>
      </c>
      <c r="G62" s="400"/>
      <c r="H62" s="400">
        <f t="shared" si="1"/>
        <v>0</v>
      </c>
      <c r="I62" s="400"/>
      <c r="J62" s="400">
        <f t="shared" si="0"/>
        <v>0</v>
      </c>
    </row>
    <row r="63" spans="1:10" ht="19.5" customHeight="1">
      <c r="A63" s="184"/>
      <c r="B63" s="94" t="s">
        <v>11</v>
      </c>
      <c r="C63" s="22" t="s">
        <v>12</v>
      </c>
      <c r="D63" s="113">
        <f>D61*(1/13)*1.57*(1440/50)</f>
        <v>0.78258461538461543</v>
      </c>
      <c r="E63" s="374">
        <v>11200</v>
      </c>
      <c r="F63" s="368">
        <f t="shared" si="2"/>
        <v>8764.9476923076927</v>
      </c>
      <c r="G63" s="400">
        <v>14000</v>
      </c>
      <c r="H63" s="400">
        <f t="shared" si="1"/>
        <v>10956.184615384616</v>
      </c>
      <c r="I63" s="400">
        <v>13500</v>
      </c>
      <c r="J63" s="400">
        <f t="shared" si="0"/>
        <v>10564.892307692309</v>
      </c>
    </row>
    <row r="64" spans="1:10" ht="19.5" customHeight="1">
      <c r="A64" s="184"/>
      <c r="B64" s="94" t="s">
        <v>13</v>
      </c>
      <c r="C64" s="22" t="s">
        <v>10</v>
      </c>
      <c r="D64" s="113">
        <f>D61*(4/13)*1.57</f>
        <v>0.1086923076923077</v>
      </c>
      <c r="E64" s="374">
        <v>30500</v>
      </c>
      <c r="F64" s="368">
        <f t="shared" si="2"/>
        <v>3315.1153846153848</v>
      </c>
      <c r="G64" s="400">
        <v>25000</v>
      </c>
      <c r="H64" s="400">
        <f t="shared" si="1"/>
        <v>2717.3076923076924</v>
      </c>
      <c r="I64" s="400">
        <v>40000</v>
      </c>
      <c r="J64" s="400">
        <f t="shared" si="0"/>
        <v>4347.6923076923076</v>
      </c>
    </row>
    <row r="65" spans="1:10" ht="19.5" customHeight="1">
      <c r="A65" s="184"/>
      <c r="B65" s="94" t="s">
        <v>14</v>
      </c>
      <c r="C65" s="22" t="s">
        <v>10</v>
      </c>
      <c r="D65" s="113">
        <f>D61*(8/13)*1.57</f>
        <v>0.2173846153846154</v>
      </c>
      <c r="E65" s="374">
        <v>32300</v>
      </c>
      <c r="F65" s="368">
        <f t="shared" si="2"/>
        <v>7021.5230769230775</v>
      </c>
      <c r="G65" s="400">
        <v>27000</v>
      </c>
      <c r="H65" s="400">
        <f t="shared" si="1"/>
        <v>5869.3846153846162</v>
      </c>
      <c r="I65" s="400">
        <v>48312</v>
      </c>
      <c r="J65" s="400">
        <f t="shared" si="0"/>
        <v>10502.28553846154</v>
      </c>
    </row>
    <row r="66" spans="1:10" ht="19.5" customHeight="1">
      <c r="A66" s="184"/>
      <c r="B66" s="94" t="s">
        <v>15</v>
      </c>
      <c r="C66" s="22" t="s">
        <v>16</v>
      </c>
      <c r="D66" s="113">
        <f>D70*10</f>
        <v>0.375</v>
      </c>
      <c r="E66" s="374">
        <v>1900</v>
      </c>
      <c r="F66" s="368">
        <f t="shared" si="2"/>
        <v>712.5</v>
      </c>
      <c r="G66" s="400">
        <v>2000</v>
      </c>
      <c r="H66" s="400">
        <f t="shared" si="1"/>
        <v>750</v>
      </c>
      <c r="I66" s="400">
        <v>2000</v>
      </c>
      <c r="J66" s="400">
        <f t="shared" si="0"/>
        <v>750</v>
      </c>
    </row>
    <row r="67" spans="1:10" ht="19.5" customHeight="1">
      <c r="A67" s="153"/>
      <c r="B67" s="93" t="s">
        <v>18</v>
      </c>
      <c r="C67" s="27"/>
      <c r="D67" s="116"/>
      <c r="E67" s="381"/>
      <c r="F67" s="368">
        <f t="shared" si="2"/>
        <v>0</v>
      </c>
      <c r="G67" s="400"/>
      <c r="H67" s="400">
        <f t="shared" si="1"/>
        <v>0</v>
      </c>
      <c r="I67" s="400"/>
      <c r="J67" s="400">
        <f t="shared" si="0"/>
        <v>0</v>
      </c>
    </row>
    <row r="68" spans="1:10" ht="19.5" customHeight="1">
      <c r="A68" s="184"/>
      <c r="B68" s="94"/>
      <c r="C68" s="22"/>
      <c r="D68" s="113"/>
      <c r="E68" s="374"/>
      <c r="F68" s="368">
        <f t="shared" si="2"/>
        <v>0</v>
      </c>
      <c r="G68" s="400"/>
      <c r="H68" s="400">
        <f t="shared" si="1"/>
        <v>0</v>
      </c>
      <c r="I68" s="400"/>
      <c r="J68" s="400">
        <f t="shared" si="0"/>
        <v>0</v>
      </c>
    </row>
    <row r="69" spans="1:10" ht="19.5" customHeight="1">
      <c r="A69" s="184"/>
      <c r="B69" s="93" t="s">
        <v>19</v>
      </c>
      <c r="C69" s="22"/>
      <c r="D69" s="113"/>
      <c r="E69" s="374"/>
      <c r="F69" s="368">
        <f t="shared" si="2"/>
        <v>0</v>
      </c>
      <c r="G69" s="400"/>
      <c r="H69" s="400">
        <f t="shared" si="1"/>
        <v>0</v>
      </c>
      <c r="I69" s="400"/>
      <c r="J69" s="400">
        <f t="shared" ref="J69:J132" si="3">D69*I69</f>
        <v>0</v>
      </c>
    </row>
    <row r="70" spans="1:10" ht="19.5" customHeight="1">
      <c r="A70" s="184"/>
      <c r="B70" s="94" t="s">
        <v>20</v>
      </c>
      <c r="C70" s="22" t="s">
        <v>21</v>
      </c>
      <c r="D70" s="113">
        <f>D61/6</f>
        <v>3.7499999999999999E-2</v>
      </c>
      <c r="E70" s="374">
        <v>950</v>
      </c>
      <c r="F70" s="368">
        <f t="shared" si="2"/>
        <v>35.625</v>
      </c>
      <c r="G70" s="400">
        <v>50000</v>
      </c>
      <c r="H70" s="400">
        <f t="shared" si="1"/>
        <v>1875</v>
      </c>
      <c r="I70" s="400">
        <v>80000</v>
      </c>
      <c r="J70" s="400">
        <f t="shared" si="3"/>
        <v>3000</v>
      </c>
    </row>
    <row r="71" spans="1:10" ht="19.5" customHeight="1">
      <c r="A71" s="153"/>
      <c r="B71" s="93" t="s">
        <v>23</v>
      </c>
      <c r="C71" s="27"/>
      <c r="D71" s="116"/>
      <c r="E71" s="381"/>
      <c r="F71" s="368">
        <f t="shared" si="2"/>
        <v>0</v>
      </c>
      <c r="G71" s="400"/>
      <c r="H71" s="400">
        <f t="shared" ref="H71:H134" si="4">D71*G71</f>
        <v>0</v>
      </c>
      <c r="I71" s="400"/>
      <c r="J71" s="400">
        <f t="shared" si="3"/>
        <v>0</v>
      </c>
    </row>
    <row r="72" spans="1:10" ht="19.5" customHeight="1">
      <c r="A72" s="184"/>
      <c r="B72" s="94"/>
      <c r="C72" s="22"/>
      <c r="D72" s="113"/>
      <c r="E72" s="374"/>
      <c r="F72" s="368">
        <f t="shared" ref="F72:F135" si="5">D72*E72</f>
        <v>0</v>
      </c>
      <c r="G72" s="400"/>
      <c r="H72" s="400">
        <f t="shared" si="4"/>
        <v>0</v>
      </c>
      <c r="I72" s="400"/>
      <c r="J72" s="400">
        <f t="shared" si="3"/>
        <v>0</v>
      </c>
    </row>
    <row r="73" spans="1:10" ht="19.5" customHeight="1">
      <c r="A73" s="184"/>
      <c r="B73" s="93" t="s">
        <v>6</v>
      </c>
      <c r="C73" s="22"/>
      <c r="D73" s="113"/>
      <c r="E73" s="374"/>
      <c r="F73" s="368">
        <f t="shared" si="5"/>
        <v>0</v>
      </c>
      <c r="G73" s="400"/>
      <c r="H73" s="400">
        <f t="shared" si="4"/>
        <v>0</v>
      </c>
      <c r="I73" s="400"/>
      <c r="J73" s="400">
        <f t="shared" si="3"/>
        <v>0</v>
      </c>
    </row>
    <row r="74" spans="1:10" ht="19.5" customHeight="1">
      <c r="A74" s="184"/>
      <c r="B74" s="94" t="s">
        <v>24</v>
      </c>
      <c r="C74" s="22" t="s">
        <v>21</v>
      </c>
      <c r="D74" s="113">
        <f>(D61/6)*2</f>
        <v>7.4999999999999997E-2</v>
      </c>
      <c r="E74" s="374">
        <v>1250</v>
      </c>
      <c r="F74" s="368">
        <f t="shared" si="5"/>
        <v>93.75</v>
      </c>
      <c r="G74" s="400">
        <v>10000</v>
      </c>
      <c r="H74" s="400">
        <f t="shared" si="4"/>
        <v>750</v>
      </c>
      <c r="I74" s="400">
        <v>40909</v>
      </c>
      <c r="J74" s="400">
        <f t="shared" si="3"/>
        <v>3068.1749999999997</v>
      </c>
    </row>
    <row r="75" spans="1:10" ht="19.5" customHeight="1">
      <c r="A75" s="184"/>
      <c r="B75" s="94" t="s">
        <v>25</v>
      </c>
      <c r="C75" s="22" t="s">
        <v>21</v>
      </c>
      <c r="D75" s="113">
        <f>(D61/6)*18</f>
        <v>0.67499999999999993</v>
      </c>
      <c r="E75" s="374">
        <v>820</v>
      </c>
      <c r="F75" s="368">
        <f t="shared" si="5"/>
        <v>553.5</v>
      </c>
      <c r="G75" s="400">
        <v>5000</v>
      </c>
      <c r="H75" s="400">
        <f t="shared" si="4"/>
        <v>3374.9999999999995</v>
      </c>
      <c r="I75" s="400">
        <v>7955</v>
      </c>
      <c r="J75" s="400">
        <f t="shared" si="3"/>
        <v>5369.6249999999991</v>
      </c>
    </row>
    <row r="76" spans="1:10" ht="19.5" customHeight="1">
      <c r="A76" s="184"/>
      <c r="B76" s="94" t="s">
        <v>26</v>
      </c>
      <c r="C76" s="22" t="s">
        <v>21</v>
      </c>
      <c r="D76" s="113">
        <f>D70</f>
        <v>3.7499999999999999E-2</v>
      </c>
      <c r="E76" s="374">
        <v>1200</v>
      </c>
      <c r="F76" s="368">
        <f t="shared" si="5"/>
        <v>45</v>
      </c>
      <c r="G76" s="400">
        <v>20000</v>
      </c>
      <c r="H76" s="400">
        <f t="shared" si="4"/>
        <v>750</v>
      </c>
      <c r="I76" s="400">
        <v>20000</v>
      </c>
      <c r="J76" s="400">
        <f t="shared" si="3"/>
        <v>750</v>
      </c>
    </row>
    <row r="77" spans="1:10" ht="19.5" customHeight="1">
      <c r="A77" s="153"/>
      <c r="B77" s="93" t="s">
        <v>27</v>
      </c>
      <c r="C77" s="27"/>
      <c r="D77" s="116"/>
      <c r="E77" s="381"/>
      <c r="F77" s="368">
        <f t="shared" si="5"/>
        <v>0</v>
      </c>
      <c r="G77" s="400"/>
      <c r="H77" s="400">
        <f t="shared" si="4"/>
        <v>0</v>
      </c>
      <c r="I77" s="400"/>
      <c r="J77" s="400">
        <f t="shared" si="3"/>
        <v>0</v>
      </c>
    </row>
    <row r="78" spans="1:10" ht="19.5" customHeight="1">
      <c r="A78" s="153"/>
      <c r="B78" s="93"/>
      <c r="C78" s="27"/>
      <c r="D78" s="116"/>
      <c r="E78" s="381"/>
      <c r="F78" s="368">
        <f t="shared" si="5"/>
        <v>0</v>
      </c>
      <c r="G78" s="400"/>
      <c r="H78" s="400">
        <f t="shared" si="4"/>
        <v>0</v>
      </c>
      <c r="I78" s="400"/>
      <c r="J78" s="400">
        <f t="shared" si="3"/>
        <v>0</v>
      </c>
    </row>
    <row r="79" spans="1:10" ht="19.5" customHeight="1">
      <c r="A79" s="153">
        <v>4</v>
      </c>
      <c r="B79" s="475" t="s">
        <v>82</v>
      </c>
      <c r="C79" s="475"/>
      <c r="D79" s="475"/>
      <c r="E79" s="376"/>
      <c r="F79" s="368">
        <f t="shared" si="5"/>
        <v>0</v>
      </c>
      <c r="G79" s="400"/>
      <c r="H79" s="400">
        <f t="shared" si="4"/>
        <v>0</v>
      </c>
      <c r="I79" s="400"/>
      <c r="J79" s="400">
        <f t="shared" si="3"/>
        <v>0</v>
      </c>
    </row>
    <row r="80" spans="1:10" ht="19.5" customHeight="1">
      <c r="A80" s="179">
        <v>4.01</v>
      </c>
      <c r="B80" s="95" t="s">
        <v>83</v>
      </c>
      <c r="C80" s="65" t="s">
        <v>50</v>
      </c>
      <c r="D80" s="120">
        <f>((0.75*0.2)*4)*8</f>
        <v>4.8000000000000007</v>
      </c>
      <c r="E80" s="375">
        <v>10990.972222222221</v>
      </c>
      <c r="F80" s="367">
        <f t="shared" si="5"/>
        <v>52756.666666666664</v>
      </c>
      <c r="G80" s="403"/>
      <c r="H80" s="367">
        <f>SUBTOTAL(9,H81:H89)</f>
        <v>63480.000000000007</v>
      </c>
      <c r="I80" s="403">
        <v>9023.6111111111095</v>
      </c>
      <c r="J80" s="403">
        <f t="shared" si="3"/>
        <v>43313.333333333328</v>
      </c>
    </row>
    <row r="81" spans="1:10" ht="19.5" customHeight="1">
      <c r="A81" s="184"/>
      <c r="B81" s="93" t="s">
        <v>2</v>
      </c>
      <c r="C81" s="22"/>
      <c r="D81" s="109"/>
      <c r="E81" s="374"/>
      <c r="F81" s="368">
        <f t="shared" si="5"/>
        <v>0</v>
      </c>
      <c r="G81" s="400"/>
      <c r="H81" s="400">
        <f t="shared" si="4"/>
        <v>0</v>
      </c>
      <c r="I81" s="400"/>
      <c r="J81" s="400">
        <f t="shared" si="3"/>
        <v>0</v>
      </c>
    </row>
    <row r="82" spans="1:10" ht="19.5" customHeight="1">
      <c r="A82" s="184"/>
      <c r="B82" s="94" t="s">
        <v>84</v>
      </c>
      <c r="C82" s="22" t="s">
        <v>85</v>
      </c>
      <c r="D82" s="113">
        <f>D80/(2.4*1.2)/2</f>
        <v>0.83333333333333348</v>
      </c>
      <c r="E82" s="374">
        <v>3500</v>
      </c>
      <c r="F82" s="368">
        <f t="shared" si="5"/>
        <v>2916.666666666667</v>
      </c>
      <c r="G82" s="400">
        <v>30000</v>
      </c>
      <c r="H82" s="400">
        <f t="shared" si="4"/>
        <v>25000.000000000004</v>
      </c>
      <c r="I82" s="400">
        <v>25000</v>
      </c>
      <c r="J82" s="400">
        <f t="shared" si="3"/>
        <v>20833.333333333336</v>
      </c>
    </row>
    <row r="83" spans="1:10" ht="19.5" customHeight="1">
      <c r="A83" s="184"/>
      <c r="B83" s="94" t="s">
        <v>86</v>
      </c>
      <c r="C83" s="22" t="s">
        <v>44</v>
      </c>
      <c r="D83" s="113">
        <f>D80*1.5</f>
        <v>7.2000000000000011</v>
      </c>
      <c r="E83" s="374">
        <v>5000</v>
      </c>
      <c r="F83" s="368">
        <f t="shared" si="5"/>
        <v>36000.000000000007</v>
      </c>
      <c r="G83" s="400">
        <v>4000</v>
      </c>
      <c r="H83" s="400">
        <f t="shared" si="4"/>
        <v>28800.000000000004</v>
      </c>
      <c r="I83" s="400">
        <v>1500</v>
      </c>
      <c r="J83" s="400">
        <f t="shared" si="3"/>
        <v>10800.000000000002</v>
      </c>
    </row>
    <row r="84" spans="1:10" ht="19.5" customHeight="1">
      <c r="A84" s="180"/>
      <c r="B84" s="94" t="s">
        <v>87</v>
      </c>
      <c r="C84" s="22" t="s">
        <v>88</v>
      </c>
      <c r="D84" s="113">
        <f>D80*0.25</f>
        <v>1.2000000000000002</v>
      </c>
      <c r="E84" s="374">
        <v>2200</v>
      </c>
      <c r="F84" s="368">
        <f t="shared" si="5"/>
        <v>2640.0000000000005</v>
      </c>
      <c r="G84" s="400">
        <v>2200</v>
      </c>
      <c r="H84" s="400">
        <f t="shared" si="4"/>
        <v>2640.0000000000005</v>
      </c>
      <c r="I84" s="400">
        <v>2000</v>
      </c>
      <c r="J84" s="400">
        <f t="shared" si="3"/>
        <v>2400.0000000000005</v>
      </c>
    </row>
    <row r="85" spans="1:10" ht="19.5" customHeight="1">
      <c r="A85" s="180"/>
      <c r="B85" s="93" t="s">
        <v>89</v>
      </c>
      <c r="C85" s="27"/>
      <c r="D85" s="116"/>
      <c r="E85" s="381"/>
      <c r="F85" s="368">
        <f t="shared" si="5"/>
        <v>0</v>
      </c>
      <c r="G85" s="400"/>
      <c r="H85" s="400">
        <f t="shared" si="4"/>
        <v>0</v>
      </c>
      <c r="I85" s="400"/>
      <c r="J85" s="400">
        <f t="shared" si="3"/>
        <v>0</v>
      </c>
    </row>
    <row r="86" spans="1:10" ht="19.5" customHeight="1">
      <c r="A86" s="180"/>
      <c r="B86" s="94"/>
      <c r="C86" s="22"/>
      <c r="D86" s="113"/>
      <c r="E86" s="374"/>
      <c r="F86" s="368">
        <f t="shared" si="5"/>
        <v>0</v>
      </c>
      <c r="G86" s="400"/>
      <c r="H86" s="400">
        <f t="shared" si="4"/>
        <v>0</v>
      </c>
      <c r="I86" s="400"/>
      <c r="J86" s="400">
        <f t="shared" si="3"/>
        <v>0</v>
      </c>
    </row>
    <row r="87" spans="1:10" ht="19.5" customHeight="1">
      <c r="A87" s="181"/>
      <c r="B87" s="93" t="s">
        <v>6</v>
      </c>
      <c r="C87" s="22"/>
      <c r="D87" s="113"/>
      <c r="E87" s="374"/>
      <c r="F87" s="368">
        <f t="shared" si="5"/>
        <v>0</v>
      </c>
      <c r="G87" s="400"/>
      <c r="H87" s="400">
        <f t="shared" si="4"/>
        <v>0</v>
      </c>
      <c r="I87" s="400"/>
      <c r="J87" s="400">
        <f t="shared" si="3"/>
        <v>0</v>
      </c>
    </row>
    <row r="88" spans="1:10" ht="19.5" customHeight="1">
      <c r="A88" s="181"/>
      <c r="B88" s="94" t="s">
        <v>90</v>
      </c>
      <c r="C88" s="22" t="s">
        <v>21</v>
      </c>
      <c r="D88" s="113">
        <f>D80/15</f>
        <v>0.32000000000000006</v>
      </c>
      <c r="E88" s="374">
        <v>15000</v>
      </c>
      <c r="F88" s="368">
        <f t="shared" si="5"/>
        <v>4800.0000000000009</v>
      </c>
      <c r="G88" s="400">
        <v>12000</v>
      </c>
      <c r="H88" s="400">
        <f t="shared" si="4"/>
        <v>3840.0000000000009</v>
      </c>
      <c r="I88" s="400">
        <v>15000</v>
      </c>
      <c r="J88" s="400">
        <f t="shared" si="3"/>
        <v>4800.0000000000009</v>
      </c>
    </row>
    <row r="89" spans="1:10" ht="19.5" customHeight="1">
      <c r="A89" s="181"/>
      <c r="B89" s="94" t="s">
        <v>25</v>
      </c>
      <c r="C89" s="22" t="s">
        <v>21</v>
      </c>
      <c r="D89" s="113">
        <f>D88*2</f>
        <v>0.64000000000000012</v>
      </c>
      <c r="E89" s="374">
        <v>10000</v>
      </c>
      <c r="F89" s="368">
        <f t="shared" si="5"/>
        <v>6400.0000000000009</v>
      </c>
      <c r="G89" s="400">
        <v>5000</v>
      </c>
      <c r="H89" s="400">
        <f t="shared" si="4"/>
        <v>3200.0000000000005</v>
      </c>
      <c r="I89" s="400">
        <v>7000</v>
      </c>
      <c r="J89" s="400">
        <f t="shared" si="3"/>
        <v>4480.0000000000009</v>
      </c>
    </row>
    <row r="90" spans="1:10" ht="19.5" customHeight="1">
      <c r="A90" s="184"/>
      <c r="B90" s="93" t="s">
        <v>91</v>
      </c>
      <c r="C90" s="27"/>
      <c r="D90" s="117"/>
      <c r="E90" s="381"/>
      <c r="F90" s="368">
        <f t="shared" si="5"/>
        <v>0</v>
      </c>
      <c r="G90" s="400"/>
      <c r="H90" s="400">
        <f t="shared" si="4"/>
        <v>0</v>
      </c>
      <c r="I90" s="400"/>
      <c r="J90" s="400">
        <f t="shared" si="3"/>
        <v>0</v>
      </c>
    </row>
    <row r="91" spans="1:10" ht="19.5" customHeight="1">
      <c r="A91" s="179">
        <v>4.0199999999999996</v>
      </c>
      <c r="B91" s="95" t="s">
        <v>118</v>
      </c>
      <c r="C91" s="65" t="s">
        <v>50</v>
      </c>
      <c r="D91" s="120">
        <f>((1.05*0.3)*4)*8</f>
        <v>10.08</v>
      </c>
      <c r="E91" s="375">
        <v>7817.3611111111113</v>
      </c>
      <c r="F91" s="367">
        <f t="shared" si="5"/>
        <v>78799</v>
      </c>
      <c r="G91" s="403"/>
      <c r="H91" s="367">
        <f>SUBTOTAL(9,H92:H100)</f>
        <v>84714</v>
      </c>
      <c r="I91" s="403">
        <v>9023.6111111111113</v>
      </c>
      <c r="J91" s="403">
        <f t="shared" si="3"/>
        <v>90958</v>
      </c>
    </row>
    <row r="92" spans="1:10" ht="19.5" customHeight="1">
      <c r="A92" s="184"/>
      <c r="B92" s="93" t="s">
        <v>2</v>
      </c>
      <c r="C92" s="22"/>
      <c r="D92" s="109"/>
      <c r="E92" s="374"/>
      <c r="F92" s="368">
        <f t="shared" si="5"/>
        <v>0</v>
      </c>
      <c r="G92" s="400"/>
      <c r="H92" s="400">
        <f t="shared" si="4"/>
        <v>0</v>
      </c>
      <c r="I92" s="400"/>
      <c r="J92" s="400">
        <f t="shared" si="3"/>
        <v>0</v>
      </c>
    </row>
    <row r="93" spans="1:10" ht="19.5" customHeight="1">
      <c r="A93" s="184"/>
      <c r="B93" s="94" t="s">
        <v>84</v>
      </c>
      <c r="C93" s="22" t="s">
        <v>85</v>
      </c>
      <c r="D93" s="113">
        <f>D91/(2.4*1.2)/2</f>
        <v>1.75</v>
      </c>
      <c r="E93" s="374">
        <v>2500</v>
      </c>
      <c r="F93" s="368">
        <f t="shared" si="5"/>
        <v>4375</v>
      </c>
      <c r="G93" s="400">
        <v>3000</v>
      </c>
      <c r="H93" s="400">
        <f t="shared" si="4"/>
        <v>5250</v>
      </c>
      <c r="I93" s="400">
        <v>25000</v>
      </c>
      <c r="J93" s="400">
        <f t="shared" si="3"/>
        <v>43750</v>
      </c>
    </row>
    <row r="94" spans="1:10" ht="19.5" customHeight="1">
      <c r="A94" s="184"/>
      <c r="B94" s="94" t="s">
        <v>86</v>
      </c>
      <c r="C94" s="22" t="s">
        <v>44</v>
      </c>
      <c r="D94" s="113">
        <f>D91*1.5</f>
        <v>15.120000000000001</v>
      </c>
      <c r="E94" s="374">
        <v>3000</v>
      </c>
      <c r="F94" s="368">
        <f t="shared" si="5"/>
        <v>45360</v>
      </c>
      <c r="G94" s="400">
        <v>4000</v>
      </c>
      <c r="H94" s="400">
        <f t="shared" si="4"/>
        <v>60480.000000000007</v>
      </c>
      <c r="I94" s="400">
        <v>1500</v>
      </c>
      <c r="J94" s="400">
        <f t="shared" si="3"/>
        <v>22680</v>
      </c>
    </row>
    <row r="95" spans="1:10" ht="19.5" customHeight="1">
      <c r="A95" s="180"/>
      <c r="B95" s="94" t="s">
        <v>87</v>
      </c>
      <c r="C95" s="22" t="s">
        <v>88</v>
      </c>
      <c r="D95" s="113">
        <f>D91*0.25</f>
        <v>2.52</v>
      </c>
      <c r="E95" s="374">
        <v>2200</v>
      </c>
      <c r="F95" s="368">
        <f t="shared" si="5"/>
        <v>5544</v>
      </c>
      <c r="G95" s="400">
        <v>2200</v>
      </c>
      <c r="H95" s="400">
        <f t="shared" si="4"/>
        <v>5544</v>
      </c>
      <c r="I95" s="400">
        <v>2000</v>
      </c>
      <c r="J95" s="400">
        <f t="shared" si="3"/>
        <v>5040</v>
      </c>
    </row>
    <row r="96" spans="1:10" ht="19.5" customHeight="1">
      <c r="A96" s="180"/>
      <c r="B96" s="93" t="s">
        <v>89</v>
      </c>
      <c r="C96" s="27"/>
      <c r="D96" s="116"/>
      <c r="E96" s="381"/>
      <c r="F96" s="368">
        <f t="shared" si="5"/>
        <v>0</v>
      </c>
      <c r="G96" s="400"/>
      <c r="H96" s="400">
        <f t="shared" si="4"/>
        <v>0</v>
      </c>
      <c r="I96" s="400"/>
      <c r="J96" s="400">
        <f t="shared" si="3"/>
        <v>0</v>
      </c>
    </row>
    <row r="97" spans="1:10" ht="19.5" customHeight="1">
      <c r="A97" s="180"/>
      <c r="B97" s="94"/>
      <c r="C97" s="22"/>
      <c r="D97" s="113"/>
      <c r="E97" s="374"/>
      <c r="F97" s="368">
        <f t="shared" si="5"/>
        <v>0</v>
      </c>
      <c r="G97" s="400"/>
      <c r="H97" s="400">
        <f t="shared" si="4"/>
        <v>0</v>
      </c>
      <c r="I97" s="400"/>
      <c r="J97" s="400">
        <f t="shared" si="3"/>
        <v>0</v>
      </c>
    </row>
    <row r="98" spans="1:10" ht="19.5" customHeight="1">
      <c r="A98" s="181"/>
      <c r="B98" s="93" t="s">
        <v>6</v>
      </c>
      <c r="C98" s="22"/>
      <c r="D98" s="113"/>
      <c r="E98" s="374"/>
      <c r="F98" s="368">
        <f t="shared" si="5"/>
        <v>0</v>
      </c>
      <c r="G98" s="400"/>
      <c r="H98" s="400">
        <f t="shared" si="4"/>
        <v>0</v>
      </c>
      <c r="I98" s="400"/>
      <c r="J98" s="400">
        <f t="shared" si="3"/>
        <v>0</v>
      </c>
    </row>
    <row r="99" spans="1:10" ht="19.5" customHeight="1">
      <c r="A99" s="181"/>
      <c r="B99" s="94" t="s">
        <v>90</v>
      </c>
      <c r="C99" s="22" t="s">
        <v>21</v>
      </c>
      <c r="D99" s="113">
        <f>D91/15</f>
        <v>0.67200000000000004</v>
      </c>
      <c r="E99" s="374">
        <v>15000</v>
      </c>
      <c r="F99" s="368">
        <f t="shared" si="5"/>
        <v>10080</v>
      </c>
      <c r="G99" s="400">
        <v>10000</v>
      </c>
      <c r="H99" s="400">
        <f t="shared" si="4"/>
        <v>6720</v>
      </c>
      <c r="I99" s="400">
        <v>15000</v>
      </c>
      <c r="J99" s="400">
        <f t="shared" si="3"/>
        <v>10080</v>
      </c>
    </row>
    <row r="100" spans="1:10" ht="19.5" customHeight="1">
      <c r="A100" s="181"/>
      <c r="B100" s="94" t="s">
        <v>25</v>
      </c>
      <c r="C100" s="22" t="s">
        <v>21</v>
      </c>
      <c r="D100" s="113">
        <f>D99*2</f>
        <v>1.3440000000000001</v>
      </c>
      <c r="E100" s="374">
        <v>10000</v>
      </c>
      <c r="F100" s="368">
        <f t="shared" si="5"/>
        <v>13440</v>
      </c>
      <c r="G100" s="400">
        <v>5000</v>
      </c>
      <c r="H100" s="400">
        <f t="shared" si="4"/>
        <v>6720</v>
      </c>
      <c r="I100" s="400">
        <v>7000</v>
      </c>
      <c r="J100" s="400">
        <f t="shared" si="3"/>
        <v>9408</v>
      </c>
    </row>
    <row r="101" spans="1:10" ht="19.5" customHeight="1">
      <c r="A101" s="184"/>
      <c r="B101" s="93" t="s">
        <v>91</v>
      </c>
      <c r="C101" s="27"/>
      <c r="D101" s="117"/>
      <c r="E101" s="381"/>
      <c r="F101" s="368">
        <f t="shared" si="5"/>
        <v>0</v>
      </c>
      <c r="G101" s="400"/>
      <c r="H101" s="400">
        <f t="shared" si="4"/>
        <v>0</v>
      </c>
      <c r="I101" s="400"/>
      <c r="J101" s="400">
        <f t="shared" si="3"/>
        <v>0</v>
      </c>
    </row>
    <row r="102" spans="1:10" ht="19.5" customHeight="1">
      <c r="A102" s="179">
        <v>4.03</v>
      </c>
      <c r="B102" s="95" t="s">
        <v>95</v>
      </c>
      <c r="C102" s="65" t="s">
        <v>36</v>
      </c>
      <c r="D102" s="120">
        <f>((3.1*0.3)*4)*8</f>
        <v>29.759999999999998</v>
      </c>
      <c r="E102" s="375">
        <v>11164.583333333334</v>
      </c>
      <c r="F102" s="367">
        <f t="shared" si="5"/>
        <v>332258</v>
      </c>
      <c r="G102" s="403"/>
      <c r="H102" s="367">
        <f>SUBTOTAL(9,H103:H111)</f>
        <v>393576</v>
      </c>
      <c r="I102" s="403">
        <v>9023.6111111111113</v>
      </c>
      <c r="J102" s="403">
        <f t="shared" si="3"/>
        <v>268542.66666666663</v>
      </c>
    </row>
    <row r="103" spans="1:10" ht="19.5" customHeight="1">
      <c r="A103" s="184"/>
      <c r="B103" s="93" t="s">
        <v>2</v>
      </c>
      <c r="C103" s="22"/>
      <c r="D103" s="109"/>
      <c r="E103" s="374"/>
      <c r="F103" s="368">
        <f t="shared" si="5"/>
        <v>0</v>
      </c>
      <c r="G103" s="400"/>
      <c r="H103" s="400">
        <f t="shared" si="4"/>
        <v>0</v>
      </c>
      <c r="I103" s="400"/>
      <c r="J103" s="400">
        <f t="shared" si="3"/>
        <v>0</v>
      </c>
    </row>
    <row r="104" spans="1:10" ht="19.5" customHeight="1">
      <c r="A104" s="184"/>
      <c r="B104" s="94" t="s">
        <v>84</v>
      </c>
      <c r="C104" s="22" t="s">
        <v>85</v>
      </c>
      <c r="D104" s="113">
        <f>D102/(2.4*1.2)/2</f>
        <v>5.1666666666666661</v>
      </c>
      <c r="E104" s="374">
        <v>4500</v>
      </c>
      <c r="F104" s="368">
        <f t="shared" si="5"/>
        <v>23249.999999999996</v>
      </c>
      <c r="G104" s="400">
        <v>30000</v>
      </c>
      <c r="H104" s="400">
        <f t="shared" si="4"/>
        <v>154999.99999999997</v>
      </c>
      <c r="I104" s="400">
        <v>25000</v>
      </c>
      <c r="J104" s="400">
        <f t="shared" si="3"/>
        <v>129166.66666666666</v>
      </c>
    </row>
    <row r="105" spans="1:10" ht="19.5" customHeight="1">
      <c r="A105" s="184"/>
      <c r="B105" s="94" t="s">
        <v>86</v>
      </c>
      <c r="C105" s="22" t="s">
        <v>44</v>
      </c>
      <c r="D105" s="113">
        <f>D102*1.5</f>
        <v>44.64</v>
      </c>
      <c r="E105" s="374">
        <v>5000</v>
      </c>
      <c r="F105" s="368">
        <f t="shared" si="5"/>
        <v>223200</v>
      </c>
      <c r="G105" s="400">
        <v>4000</v>
      </c>
      <c r="H105" s="400">
        <f t="shared" si="4"/>
        <v>178560</v>
      </c>
      <c r="I105" s="400">
        <v>1500</v>
      </c>
      <c r="J105" s="400">
        <f t="shared" si="3"/>
        <v>66960</v>
      </c>
    </row>
    <row r="106" spans="1:10" ht="19.5" customHeight="1">
      <c r="A106" s="180"/>
      <c r="B106" s="94" t="s">
        <v>87</v>
      </c>
      <c r="C106" s="22" t="s">
        <v>88</v>
      </c>
      <c r="D106" s="113">
        <f>D102*0.25</f>
        <v>7.4399999999999995</v>
      </c>
      <c r="E106" s="374">
        <v>2200</v>
      </c>
      <c r="F106" s="368">
        <f t="shared" si="5"/>
        <v>16367.999999999998</v>
      </c>
      <c r="G106" s="400">
        <v>2200</v>
      </c>
      <c r="H106" s="400">
        <f t="shared" si="4"/>
        <v>16367.999999999998</v>
      </c>
      <c r="I106" s="400">
        <v>2000</v>
      </c>
      <c r="J106" s="400">
        <f t="shared" si="3"/>
        <v>14879.999999999998</v>
      </c>
    </row>
    <row r="107" spans="1:10" s="61" customFormat="1" ht="19.5" customHeight="1">
      <c r="A107" s="180"/>
      <c r="B107" s="93" t="s">
        <v>89</v>
      </c>
      <c r="C107" s="27"/>
      <c r="D107" s="116"/>
      <c r="E107" s="381"/>
      <c r="F107" s="368">
        <f t="shared" si="5"/>
        <v>0</v>
      </c>
      <c r="G107" s="404"/>
      <c r="H107" s="400">
        <f t="shared" si="4"/>
        <v>0</v>
      </c>
      <c r="I107" s="404"/>
      <c r="J107" s="400">
        <f t="shared" si="3"/>
        <v>0</v>
      </c>
    </row>
    <row r="108" spans="1:10" ht="19.5" customHeight="1">
      <c r="A108" s="180"/>
      <c r="B108" s="94"/>
      <c r="C108" s="22"/>
      <c r="D108" s="113"/>
      <c r="E108" s="374"/>
      <c r="F108" s="368">
        <f t="shared" si="5"/>
        <v>0</v>
      </c>
      <c r="G108" s="400"/>
      <c r="H108" s="400">
        <f t="shared" si="4"/>
        <v>0</v>
      </c>
      <c r="I108" s="400"/>
      <c r="J108" s="400">
        <f t="shared" si="3"/>
        <v>0</v>
      </c>
    </row>
    <row r="109" spans="1:10" ht="19.5" customHeight="1">
      <c r="A109" s="181"/>
      <c r="B109" s="93" t="s">
        <v>6</v>
      </c>
      <c r="C109" s="22"/>
      <c r="D109" s="113"/>
      <c r="E109" s="374"/>
      <c r="F109" s="368">
        <f t="shared" si="5"/>
        <v>0</v>
      </c>
      <c r="G109" s="400"/>
      <c r="H109" s="400">
        <f t="shared" si="4"/>
        <v>0</v>
      </c>
      <c r="I109" s="400"/>
      <c r="J109" s="400">
        <f t="shared" si="3"/>
        <v>0</v>
      </c>
    </row>
    <row r="110" spans="1:10" ht="19.5" customHeight="1">
      <c r="A110" s="181"/>
      <c r="B110" s="94" t="s">
        <v>90</v>
      </c>
      <c r="C110" s="22" t="s">
        <v>21</v>
      </c>
      <c r="D110" s="113">
        <f>D102/15</f>
        <v>1.9839999999999998</v>
      </c>
      <c r="E110" s="374">
        <v>15000</v>
      </c>
      <c r="F110" s="368">
        <f t="shared" si="5"/>
        <v>29759.999999999996</v>
      </c>
      <c r="G110" s="406">
        <v>12000</v>
      </c>
      <c r="H110" s="400">
        <f t="shared" si="4"/>
        <v>23807.999999999996</v>
      </c>
      <c r="I110" s="400">
        <v>15000</v>
      </c>
      <c r="J110" s="400">
        <f t="shared" si="3"/>
        <v>29759.999999999996</v>
      </c>
    </row>
    <row r="111" spans="1:10" s="56" customFormat="1" ht="19.5" customHeight="1">
      <c r="A111" s="181"/>
      <c r="B111" s="94" t="s">
        <v>25</v>
      </c>
      <c r="C111" s="22" t="s">
        <v>21</v>
      </c>
      <c r="D111" s="113">
        <f>D110*2</f>
        <v>3.9679999999999995</v>
      </c>
      <c r="E111" s="374">
        <v>10000</v>
      </c>
      <c r="F111" s="368">
        <f t="shared" si="5"/>
        <v>39679.999999999993</v>
      </c>
      <c r="G111" s="400">
        <v>5000</v>
      </c>
      <c r="H111" s="400">
        <f t="shared" si="4"/>
        <v>19839.999999999996</v>
      </c>
      <c r="I111" s="406">
        <v>7000</v>
      </c>
      <c r="J111" s="400">
        <f t="shared" si="3"/>
        <v>27775.999999999996</v>
      </c>
    </row>
    <row r="112" spans="1:10" ht="19.5" customHeight="1">
      <c r="A112" s="184"/>
      <c r="B112" s="10" t="s">
        <v>9</v>
      </c>
      <c r="C112" s="27"/>
      <c r="D112" s="117"/>
      <c r="E112" s="381"/>
      <c r="F112" s="368">
        <f t="shared" si="5"/>
        <v>0</v>
      </c>
      <c r="G112" s="400"/>
      <c r="H112" s="400">
        <f t="shared" si="4"/>
        <v>0</v>
      </c>
      <c r="I112" s="400"/>
      <c r="J112" s="400">
        <f t="shared" si="3"/>
        <v>0</v>
      </c>
    </row>
    <row r="113" spans="1:10" ht="19.5" customHeight="1">
      <c r="A113" s="184"/>
      <c r="B113" s="10"/>
      <c r="C113" s="27"/>
      <c r="D113" s="117"/>
      <c r="E113" s="381"/>
      <c r="F113" s="368">
        <f t="shared" si="5"/>
        <v>0</v>
      </c>
      <c r="G113" s="400"/>
      <c r="H113" s="400">
        <f t="shared" si="4"/>
        <v>0</v>
      </c>
      <c r="I113" s="400"/>
      <c r="J113" s="400">
        <f t="shared" si="3"/>
        <v>0</v>
      </c>
    </row>
    <row r="114" spans="1:10" ht="19.5" customHeight="1">
      <c r="A114" s="185">
        <v>5</v>
      </c>
      <c r="B114" s="96" t="s">
        <v>105</v>
      </c>
      <c r="C114" s="65" t="s">
        <v>88</v>
      </c>
      <c r="D114" s="120">
        <v>289.072</v>
      </c>
      <c r="E114" s="375">
        <v>6375.8333333333339</v>
      </c>
      <c r="F114" s="367">
        <f t="shared" si="5"/>
        <v>1843074.8933333335</v>
      </c>
      <c r="G114" s="403"/>
      <c r="H114" s="367">
        <f>SUBTOTAL(9,H115:H123)</f>
        <v>1590297.4888888891</v>
      </c>
      <c r="I114" s="403">
        <v>3141.1111111111113</v>
      </c>
      <c r="J114" s="403">
        <f t="shared" si="3"/>
        <v>908007.27111111116</v>
      </c>
    </row>
    <row r="115" spans="1:10" ht="19.5" customHeight="1">
      <c r="A115" s="184"/>
      <c r="B115" s="93" t="s">
        <v>2</v>
      </c>
      <c r="C115" s="22"/>
      <c r="D115" s="109"/>
      <c r="E115" s="374"/>
      <c r="F115" s="368">
        <f t="shared" si="5"/>
        <v>0</v>
      </c>
      <c r="G115" s="400"/>
      <c r="H115" s="400">
        <f t="shared" si="4"/>
        <v>0</v>
      </c>
      <c r="I115" s="400"/>
      <c r="J115" s="400">
        <f t="shared" si="3"/>
        <v>0</v>
      </c>
    </row>
    <row r="116" spans="1:10" s="56" customFormat="1" ht="19.5" customHeight="1">
      <c r="A116" s="184"/>
      <c r="B116" s="94" t="s">
        <v>106</v>
      </c>
      <c r="C116" s="22" t="s">
        <v>88</v>
      </c>
      <c r="D116" s="113">
        <f>D114*1.1</f>
        <v>317.97920000000005</v>
      </c>
      <c r="E116" s="374">
        <v>5050</v>
      </c>
      <c r="F116" s="368">
        <f t="shared" si="5"/>
        <v>1605794.9600000002</v>
      </c>
      <c r="G116" s="406">
        <v>4500</v>
      </c>
      <c r="H116" s="400">
        <f t="shared" si="4"/>
        <v>1430906.4000000001</v>
      </c>
      <c r="I116" s="406">
        <v>1800</v>
      </c>
      <c r="J116" s="400">
        <f t="shared" si="3"/>
        <v>572362.56000000006</v>
      </c>
    </row>
    <row r="117" spans="1:10" ht="19.5" customHeight="1">
      <c r="A117" s="184"/>
      <c r="B117" s="94" t="s">
        <v>107</v>
      </c>
      <c r="C117" s="22" t="s">
        <v>88</v>
      </c>
      <c r="D117" s="113">
        <f>D114*2.5%</f>
        <v>7.2268000000000008</v>
      </c>
      <c r="E117" s="374">
        <v>3500</v>
      </c>
      <c r="F117" s="368">
        <f t="shared" si="5"/>
        <v>25293.800000000003</v>
      </c>
      <c r="G117" s="400">
        <v>2500</v>
      </c>
      <c r="H117" s="400">
        <f t="shared" si="4"/>
        <v>18067.000000000004</v>
      </c>
      <c r="I117" s="400">
        <v>2000</v>
      </c>
      <c r="J117" s="400">
        <f t="shared" si="3"/>
        <v>14453.600000000002</v>
      </c>
    </row>
    <row r="118" spans="1:10" s="61" customFormat="1" ht="19.5" customHeight="1">
      <c r="A118" s="184"/>
      <c r="B118" s="94"/>
      <c r="C118" s="22"/>
      <c r="D118" s="113"/>
      <c r="E118" s="374"/>
      <c r="F118" s="368">
        <f t="shared" si="5"/>
        <v>0</v>
      </c>
      <c r="G118" s="404"/>
      <c r="H118" s="400">
        <f t="shared" si="4"/>
        <v>0</v>
      </c>
      <c r="I118" s="404"/>
      <c r="J118" s="400">
        <f t="shared" si="3"/>
        <v>0</v>
      </c>
    </row>
    <row r="119" spans="1:10" ht="19.5" customHeight="1">
      <c r="A119" s="153"/>
      <c r="B119" s="93" t="s">
        <v>108</v>
      </c>
      <c r="C119" s="27"/>
      <c r="D119" s="116"/>
      <c r="E119" s="381"/>
      <c r="F119" s="368">
        <f t="shared" si="5"/>
        <v>0</v>
      </c>
      <c r="G119" s="400"/>
      <c r="H119" s="400">
        <f t="shared" si="4"/>
        <v>0</v>
      </c>
      <c r="I119" s="400"/>
      <c r="J119" s="400">
        <f t="shared" si="3"/>
        <v>0</v>
      </c>
    </row>
    <row r="120" spans="1:10" ht="19.5" customHeight="1">
      <c r="A120" s="184"/>
      <c r="B120" s="94"/>
      <c r="C120" s="22"/>
      <c r="D120" s="113"/>
      <c r="E120" s="374"/>
      <c r="F120" s="368">
        <f t="shared" si="5"/>
        <v>0</v>
      </c>
      <c r="G120" s="400"/>
      <c r="H120" s="400">
        <f t="shared" si="4"/>
        <v>0</v>
      </c>
      <c r="I120" s="400"/>
      <c r="J120" s="400">
        <f t="shared" si="3"/>
        <v>0</v>
      </c>
    </row>
    <row r="121" spans="1:10" ht="19.5" customHeight="1">
      <c r="A121" s="184"/>
      <c r="B121" s="93" t="s">
        <v>6</v>
      </c>
      <c r="C121" s="22"/>
      <c r="D121" s="113"/>
      <c r="E121" s="374"/>
      <c r="F121" s="368">
        <f t="shared" si="5"/>
        <v>0</v>
      </c>
      <c r="G121" s="400"/>
      <c r="H121" s="400">
        <f t="shared" si="4"/>
        <v>0</v>
      </c>
      <c r="I121" s="400"/>
      <c r="J121" s="400">
        <f t="shared" si="3"/>
        <v>0</v>
      </c>
    </row>
    <row r="122" spans="1:10" s="56" customFormat="1" ht="19.5" customHeight="1">
      <c r="A122" s="184"/>
      <c r="B122" s="94" t="s">
        <v>109</v>
      </c>
      <c r="C122" s="22" t="s">
        <v>8</v>
      </c>
      <c r="D122" s="113">
        <f>D114/45</f>
        <v>6.4238222222222223</v>
      </c>
      <c r="E122" s="374">
        <v>17000</v>
      </c>
      <c r="F122" s="368">
        <f t="shared" si="5"/>
        <v>109204.97777777778</v>
      </c>
      <c r="G122" s="406">
        <v>12000</v>
      </c>
      <c r="H122" s="400">
        <f t="shared" si="4"/>
        <v>77085.866666666669</v>
      </c>
      <c r="I122" s="406">
        <v>36000</v>
      </c>
      <c r="J122" s="400">
        <f t="shared" si="3"/>
        <v>231257.60000000001</v>
      </c>
    </row>
    <row r="123" spans="1:10" ht="19.5" customHeight="1">
      <c r="A123" s="184"/>
      <c r="B123" s="94" t="s">
        <v>110</v>
      </c>
      <c r="C123" s="22" t="s">
        <v>8</v>
      </c>
      <c r="D123" s="113">
        <f>D122*2</f>
        <v>12.847644444444445</v>
      </c>
      <c r="E123" s="374">
        <v>8000</v>
      </c>
      <c r="F123" s="368">
        <f t="shared" si="5"/>
        <v>102781.15555555555</v>
      </c>
      <c r="G123" s="400">
        <v>5000</v>
      </c>
      <c r="H123" s="400">
        <f t="shared" si="4"/>
        <v>64238.222222222226</v>
      </c>
      <c r="I123" s="400">
        <v>7000</v>
      </c>
      <c r="J123" s="400">
        <f t="shared" si="3"/>
        <v>89933.511111111118</v>
      </c>
    </row>
    <row r="124" spans="1:10" ht="19.5" customHeight="1">
      <c r="A124" s="153"/>
      <c r="B124" s="93" t="s">
        <v>111</v>
      </c>
      <c r="C124" s="27"/>
      <c r="D124" s="117"/>
      <c r="E124" s="381"/>
      <c r="F124" s="368">
        <f t="shared" si="5"/>
        <v>0</v>
      </c>
      <c r="G124" s="400"/>
      <c r="H124" s="400">
        <f t="shared" si="4"/>
        <v>0</v>
      </c>
      <c r="I124" s="400"/>
      <c r="J124" s="400">
        <f t="shared" si="3"/>
        <v>0</v>
      </c>
    </row>
    <row r="125" spans="1:10" ht="19.5" customHeight="1">
      <c r="A125" s="153"/>
      <c r="B125" s="93"/>
      <c r="C125" s="27"/>
      <c r="D125" s="117"/>
      <c r="E125" s="381"/>
      <c r="F125" s="368">
        <f t="shared" si="5"/>
        <v>0</v>
      </c>
      <c r="G125" s="400"/>
      <c r="H125" s="400">
        <f t="shared" si="4"/>
        <v>0</v>
      </c>
      <c r="I125" s="400"/>
      <c r="J125" s="400">
        <f t="shared" si="3"/>
        <v>0</v>
      </c>
    </row>
    <row r="126" spans="1:10" ht="19.5" customHeight="1">
      <c r="A126" s="155">
        <v>6</v>
      </c>
      <c r="B126" s="476" t="s">
        <v>101</v>
      </c>
      <c r="C126" s="476"/>
      <c r="D126" s="476"/>
      <c r="E126" s="376"/>
      <c r="F126" s="368">
        <f t="shared" si="5"/>
        <v>0</v>
      </c>
      <c r="G126" s="400"/>
      <c r="H126" s="400">
        <f t="shared" si="4"/>
        <v>0</v>
      </c>
      <c r="I126" s="400"/>
      <c r="J126" s="400">
        <f t="shared" si="3"/>
        <v>0</v>
      </c>
    </row>
    <row r="127" spans="1:10" ht="19.5" customHeight="1">
      <c r="A127" s="179">
        <v>6.01</v>
      </c>
      <c r="B127" s="95" t="s">
        <v>102</v>
      </c>
      <c r="C127" s="65" t="s">
        <v>10</v>
      </c>
      <c r="D127" s="120">
        <f>(0.7*0.7*0.15)*8</f>
        <v>0.58799999999999986</v>
      </c>
      <c r="E127" s="375">
        <v>218000.00000000003</v>
      </c>
      <c r="F127" s="367">
        <f t="shared" si="5"/>
        <v>128183.99999999999</v>
      </c>
      <c r="G127" s="403"/>
      <c r="H127" s="367">
        <f>SUBTOTAL(9,H128:H136)</f>
        <v>25087.999999999996</v>
      </c>
      <c r="I127" s="403">
        <v>318000</v>
      </c>
      <c r="J127" s="403">
        <f t="shared" si="3"/>
        <v>186983.99999999994</v>
      </c>
    </row>
    <row r="128" spans="1:10" ht="19.5" customHeight="1">
      <c r="A128" s="186"/>
      <c r="B128" s="97" t="s">
        <v>2</v>
      </c>
      <c r="C128" s="53"/>
      <c r="D128" s="118"/>
      <c r="E128" s="377"/>
      <c r="F128" s="368">
        <f t="shared" si="5"/>
        <v>0</v>
      </c>
      <c r="G128" s="400"/>
      <c r="H128" s="400">
        <f t="shared" si="4"/>
        <v>0</v>
      </c>
      <c r="I128" s="400"/>
      <c r="J128" s="400">
        <f t="shared" si="3"/>
        <v>0</v>
      </c>
    </row>
    <row r="129" spans="1:10" ht="19.5" customHeight="1">
      <c r="A129" s="186"/>
      <c r="B129" s="98" t="s">
        <v>99</v>
      </c>
      <c r="C129" s="53" t="s">
        <v>28</v>
      </c>
      <c r="D129" s="130">
        <f>D127*1.1</f>
        <v>0.64679999999999993</v>
      </c>
      <c r="E129" s="377">
        <v>180000</v>
      </c>
      <c r="F129" s="368">
        <f t="shared" si="5"/>
        <v>116423.99999999999</v>
      </c>
      <c r="G129" s="400">
        <v>35000</v>
      </c>
      <c r="H129" s="400">
        <f t="shared" si="4"/>
        <v>22637.999999999996</v>
      </c>
      <c r="I129" s="400">
        <v>280000</v>
      </c>
      <c r="J129" s="400">
        <f t="shared" si="3"/>
        <v>181103.99999999997</v>
      </c>
    </row>
    <row r="130" spans="1:10" ht="19.5" customHeight="1">
      <c r="A130" s="187"/>
      <c r="B130" s="97" t="s">
        <v>100</v>
      </c>
      <c r="C130" s="54"/>
      <c r="D130" s="119"/>
      <c r="E130" s="384"/>
      <c r="F130" s="368">
        <f t="shared" si="5"/>
        <v>0</v>
      </c>
      <c r="G130" s="400"/>
      <c r="H130" s="400">
        <f t="shared" si="4"/>
        <v>0</v>
      </c>
      <c r="I130" s="400"/>
      <c r="J130" s="400">
        <f t="shared" si="3"/>
        <v>0</v>
      </c>
    </row>
    <row r="131" spans="1:10" s="61" customFormat="1" ht="19.5" customHeight="1">
      <c r="A131" s="187"/>
      <c r="B131" s="97"/>
      <c r="C131" s="54"/>
      <c r="D131" s="119"/>
      <c r="E131" s="384"/>
      <c r="F131" s="368">
        <f t="shared" si="5"/>
        <v>0</v>
      </c>
      <c r="G131" s="404"/>
      <c r="H131" s="400">
        <f t="shared" si="4"/>
        <v>0</v>
      </c>
      <c r="I131" s="404"/>
      <c r="J131" s="400">
        <f t="shared" si="3"/>
        <v>0</v>
      </c>
    </row>
    <row r="132" spans="1:10" ht="19.5" customHeight="1">
      <c r="A132" s="184"/>
      <c r="B132" s="93" t="s">
        <v>19</v>
      </c>
      <c r="C132" s="22"/>
      <c r="D132" s="113"/>
      <c r="E132" s="374"/>
      <c r="F132" s="368">
        <f t="shared" si="5"/>
        <v>0</v>
      </c>
      <c r="G132" s="400"/>
      <c r="H132" s="400">
        <f t="shared" si="4"/>
        <v>0</v>
      </c>
      <c r="I132" s="400"/>
      <c r="J132" s="400">
        <f t="shared" si="3"/>
        <v>0</v>
      </c>
    </row>
    <row r="133" spans="1:10" ht="19.5" customHeight="1">
      <c r="A133" s="184"/>
      <c r="B133" s="94" t="s">
        <v>22</v>
      </c>
      <c r="C133" s="22" t="s">
        <v>21</v>
      </c>
      <c r="D133" s="113">
        <f>D127/6</f>
        <v>9.7999999999999976E-2</v>
      </c>
      <c r="E133" s="374">
        <v>65000</v>
      </c>
      <c r="F133" s="368">
        <f t="shared" si="5"/>
        <v>6369.9999999999982</v>
      </c>
      <c r="G133" s="400">
        <v>5000</v>
      </c>
      <c r="H133" s="400">
        <f t="shared" si="4"/>
        <v>489.99999999999989</v>
      </c>
      <c r="I133" s="400">
        <v>40000</v>
      </c>
      <c r="J133" s="400">
        <f t="shared" ref="J133:J196" si="6">D133*I133</f>
        <v>3919.9999999999991</v>
      </c>
    </row>
    <row r="134" spans="1:10" ht="19.5" customHeight="1">
      <c r="A134" s="153"/>
      <c r="B134" s="93" t="s">
        <v>112</v>
      </c>
      <c r="C134" s="27"/>
      <c r="D134" s="116"/>
      <c r="E134" s="381"/>
      <c r="F134" s="368">
        <f t="shared" si="5"/>
        <v>0</v>
      </c>
      <c r="G134" s="400"/>
      <c r="H134" s="400">
        <f t="shared" si="4"/>
        <v>0</v>
      </c>
      <c r="I134" s="400"/>
      <c r="J134" s="400">
        <f t="shared" si="6"/>
        <v>0</v>
      </c>
    </row>
    <row r="135" spans="1:10" ht="19.5" customHeight="1">
      <c r="A135" s="153"/>
      <c r="B135" s="93"/>
      <c r="C135" s="27"/>
      <c r="D135" s="116"/>
      <c r="E135" s="381"/>
      <c r="F135" s="368">
        <f t="shared" si="5"/>
        <v>0</v>
      </c>
      <c r="G135" s="400"/>
      <c r="H135" s="400">
        <f t="shared" ref="H135:H198" si="7">D135*G135</f>
        <v>0</v>
      </c>
      <c r="I135" s="400"/>
      <c r="J135" s="400">
        <f t="shared" si="6"/>
        <v>0</v>
      </c>
    </row>
    <row r="136" spans="1:10" ht="19.5" customHeight="1">
      <c r="A136" s="186"/>
      <c r="B136" s="98" t="s">
        <v>26</v>
      </c>
      <c r="C136" s="53" t="s">
        <v>21</v>
      </c>
      <c r="D136" s="130">
        <f>D133</f>
        <v>9.7999999999999976E-2</v>
      </c>
      <c r="E136" s="377">
        <v>55000</v>
      </c>
      <c r="F136" s="368">
        <f t="shared" ref="F136:F199" si="8">D136*E136</f>
        <v>5389.9999999999991</v>
      </c>
      <c r="G136" s="400">
        <v>20000</v>
      </c>
      <c r="H136" s="400">
        <f t="shared" si="7"/>
        <v>1959.9999999999995</v>
      </c>
      <c r="I136" s="400">
        <v>20000</v>
      </c>
      <c r="J136" s="400">
        <f t="shared" si="6"/>
        <v>1959.9999999999995</v>
      </c>
    </row>
    <row r="137" spans="1:10" ht="19.5" customHeight="1">
      <c r="A137" s="187"/>
      <c r="B137" s="97" t="s">
        <v>113</v>
      </c>
      <c r="C137" s="54"/>
      <c r="D137" s="119"/>
      <c r="E137" s="384"/>
      <c r="F137" s="368">
        <f t="shared" si="8"/>
        <v>0</v>
      </c>
      <c r="G137" s="400"/>
      <c r="H137" s="400">
        <f t="shared" si="7"/>
        <v>0</v>
      </c>
      <c r="I137" s="400"/>
      <c r="J137" s="400">
        <f t="shared" si="6"/>
        <v>0</v>
      </c>
    </row>
    <row r="138" spans="1:10" ht="19.5" customHeight="1">
      <c r="A138" s="179">
        <v>6.02</v>
      </c>
      <c r="B138" s="95" t="s">
        <v>103</v>
      </c>
      <c r="C138" s="65" t="s">
        <v>10</v>
      </c>
      <c r="D138" s="120">
        <f>(1*0.25*0.25)*8</f>
        <v>0.5</v>
      </c>
      <c r="E138" s="375">
        <v>223920.00000000003</v>
      </c>
      <c r="F138" s="367">
        <f t="shared" si="8"/>
        <v>111960.00000000001</v>
      </c>
      <c r="G138" s="403"/>
      <c r="H138" s="367">
        <f>SUBTOTAL(9,H139:H147)</f>
        <v>193643.33333333334</v>
      </c>
      <c r="I138" s="403">
        <v>309960</v>
      </c>
      <c r="J138" s="403">
        <f t="shared" si="6"/>
        <v>154980</v>
      </c>
    </row>
    <row r="139" spans="1:10" ht="19.5" customHeight="1">
      <c r="A139" s="186"/>
      <c r="B139" s="97" t="s">
        <v>2</v>
      </c>
      <c r="C139" s="53"/>
      <c r="D139" s="118"/>
      <c r="E139" s="377"/>
      <c r="F139" s="368">
        <f t="shared" si="8"/>
        <v>0</v>
      </c>
      <c r="G139" s="400"/>
      <c r="H139" s="400">
        <f t="shared" si="7"/>
        <v>0</v>
      </c>
      <c r="I139" s="400"/>
      <c r="J139" s="400">
        <f t="shared" si="6"/>
        <v>0</v>
      </c>
    </row>
    <row r="140" spans="1:10" s="56" customFormat="1" ht="19.5" customHeight="1">
      <c r="A140" s="186"/>
      <c r="B140" s="98" t="s">
        <v>99</v>
      </c>
      <c r="C140" s="53" t="s">
        <v>28</v>
      </c>
      <c r="D140" s="130">
        <f>D138*1.1</f>
        <v>0.55000000000000004</v>
      </c>
      <c r="E140" s="377">
        <v>200000</v>
      </c>
      <c r="F140" s="368">
        <f t="shared" si="8"/>
        <v>110000.00000000001</v>
      </c>
      <c r="G140" s="406">
        <v>350000</v>
      </c>
      <c r="H140" s="400">
        <f t="shared" si="7"/>
        <v>192500.00000000003</v>
      </c>
      <c r="I140" s="406">
        <v>280000</v>
      </c>
      <c r="J140" s="400">
        <f t="shared" si="6"/>
        <v>154000</v>
      </c>
    </row>
    <row r="141" spans="1:10" ht="19.5" customHeight="1">
      <c r="A141" s="187"/>
      <c r="B141" s="97" t="s">
        <v>100</v>
      </c>
      <c r="C141" s="54"/>
      <c r="D141" s="119"/>
      <c r="E141" s="384"/>
      <c r="F141" s="368">
        <f t="shared" si="8"/>
        <v>0</v>
      </c>
      <c r="G141" s="400"/>
      <c r="H141" s="400">
        <f t="shared" si="7"/>
        <v>0</v>
      </c>
      <c r="I141" s="400"/>
      <c r="J141" s="400">
        <f t="shared" si="6"/>
        <v>0</v>
      </c>
    </row>
    <row r="142" spans="1:10" ht="19.5" customHeight="1">
      <c r="A142" s="187"/>
      <c r="B142" s="97"/>
      <c r="C142" s="54"/>
      <c r="D142" s="119"/>
      <c r="E142" s="384"/>
      <c r="F142" s="368">
        <f t="shared" si="8"/>
        <v>0</v>
      </c>
      <c r="G142" s="400"/>
      <c r="H142" s="400">
        <f t="shared" si="7"/>
        <v>0</v>
      </c>
      <c r="I142" s="400"/>
      <c r="J142" s="400">
        <f t="shared" si="6"/>
        <v>0</v>
      </c>
    </row>
    <row r="143" spans="1:10" ht="19.5" customHeight="1">
      <c r="A143" s="184"/>
      <c r="B143" s="93" t="s">
        <v>19</v>
      </c>
      <c r="C143" s="22"/>
      <c r="D143" s="113"/>
      <c r="E143" s="374"/>
      <c r="F143" s="368">
        <f t="shared" si="8"/>
        <v>0</v>
      </c>
      <c r="G143" s="400"/>
      <c r="H143" s="400">
        <f t="shared" si="7"/>
        <v>0</v>
      </c>
      <c r="I143" s="400"/>
      <c r="J143" s="400">
        <f t="shared" si="6"/>
        <v>0</v>
      </c>
    </row>
    <row r="144" spans="1:10" ht="19.5" customHeight="1">
      <c r="A144" s="184"/>
      <c r="B144" s="94" t="s">
        <v>22</v>
      </c>
      <c r="C144" s="22" t="s">
        <v>21</v>
      </c>
      <c r="D144" s="230">
        <f>D136/6</f>
        <v>1.6333333333333328E-2</v>
      </c>
      <c r="E144" s="374">
        <v>65000</v>
      </c>
      <c r="F144" s="368">
        <f t="shared" si="8"/>
        <v>1061.6666666666663</v>
      </c>
      <c r="G144" s="400">
        <v>50000</v>
      </c>
      <c r="H144" s="400">
        <f t="shared" si="7"/>
        <v>816.6666666666664</v>
      </c>
      <c r="I144" s="400">
        <v>40000</v>
      </c>
      <c r="J144" s="400">
        <f t="shared" si="6"/>
        <v>653.33333333333314</v>
      </c>
    </row>
    <row r="145" spans="1:10" s="56" customFormat="1" ht="19.5" customHeight="1">
      <c r="A145" s="153"/>
      <c r="B145" s="93" t="s">
        <v>112</v>
      </c>
      <c r="C145" s="27"/>
      <c r="D145" s="116"/>
      <c r="E145" s="381"/>
      <c r="F145" s="368">
        <f t="shared" si="8"/>
        <v>0</v>
      </c>
      <c r="G145" s="406"/>
      <c r="H145" s="400">
        <f t="shared" si="7"/>
        <v>0</v>
      </c>
      <c r="I145" s="406"/>
      <c r="J145" s="400">
        <f t="shared" si="6"/>
        <v>0</v>
      </c>
    </row>
    <row r="146" spans="1:10" ht="19.5" customHeight="1">
      <c r="A146" s="153"/>
      <c r="B146" s="93"/>
      <c r="C146" s="27"/>
      <c r="D146" s="116"/>
      <c r="E146" s="381"/>
      <c r="F146" s="368">
        <f t="shared" si="8"/>
        <v>0</v>
      </c>
      <c r="G146" s="400"/>
      <c r="H146" s="400">
        <f t="shared" si="7"/>
        <v>0</v>
      </c>
      <c r="I146" s="400"/>
      <c r="J146" s="400">
        <f t="shared" si="6"/>
        <v>0</v>
      </c>
    </row>
    <row r="147" spans="1:10" ht="19.5" customHeight="1">
      <c r="A147" s="186"/>
      <c r="B147" s="98" t="s">
        <v>26</v>
      </c>
      <c r="C147" s="53" t="s">
        <v>21</v>
      </c>
      <c r="D147" s="231">
        <f>D144</f>
        <v>1.6333333333333328E-2</v>
      </c>
      <c r="E147" s="377">
        <v>55000</v>
      </c>
      <c r="F147" s="368">
        <f t="shared" si="8"/>
        <v>898.33333333333303</v>
      </c>
      <c r="G147" s="400">
        <v>20000</v>
      </c>
      <c r="H147" s="400">
        <f t="shared" si="7"/>
        <v>326.66666666666657</v>
      </c>
      <c r="I147" s="400">
        <v>20000</v>
      </c>
      <c r="J147" s="400">
        <f t="shared" si="6"/>
        <v>326.66666666666657</v>
      </c>
    </row>
    <row r="148" spans="1:10" ht="19.5" customHeight="1">
      <c r="A148" s="187"/>
      <c r="B148" s="97" t="s">
        <v>113</v>
      </c>
      <c r="C148" s="54"/>
      <c r="D148" s="119"/>
      <c r="E148" s="384"/>
      <c r="F148" s="368">
        <f t="shared" si="8"/>
        <v>0</v>
      </c>
      <c r="G148" s="400"/>
      <c r="H148" s="400">
        <f t="shared" si="7"/>
        <v>0</v>
      </c>
      <c r="I148" s="400"/>
      <c r="J148" s="400">
        <f t="shared" si="6"/>
        <v>0</v>
      </c>
    </row>
    <row r="149" spans="1:10" ht="19.5" customHeight="1">
      <c r="A149" s="179">
        <v>6.03</v>
      </c>
      <c r="B149" s="95" t="s">
        <v>104</v>
      </c>
      <c r="C149" s="65" t="s">
        <v>10</v>
      </c>
      <c r="D149" s="120">
        <f>(3*0.25*0.25)*8</f>
        <v>1.5</v>
      </c>
      <c r="E149" s="375">
        <v>295000.00000000006</v>
      </c>
      <c r="F149" s="367">
        <f t="shared" si="8"/>
        <v>442500.00000000012</v>
      </c>
      <c r="G149" s="403"/>
      <c r="H149" s="367">
        <f>SUBTOTAL(9,H150:H160)</f>
        <v>583750</v>
      </c>
      <c r="I149" s="403">
        <v>318000</v>
      </c>
      <c r="J149" s="403">
        <f t="shared" si="6"/>
        <v>477000</v>
      </c>
    </row>
    <row r="150" spans="1:10" s="61" customFormat="1" ht="19.5" customHeight="1">
      <c r="A150" s="186"/>
      <c r="B150" s="97" t="s">
        <v>2</v>
      </c>
      <c r="C150" s="53"/>
      <c r="D150" s="118"/>
      <c r="E150" s="377"/>
      <c r="F150" s="368">
        <f t="shared" si="8"/>
        <v>0</v>
      </c>
      <c r="G150" s="404"/>
      <c r="H150" s="400">
        <f t="shared" si="7"/>
        <v>0</v>
      </c>
      <c r="I150" s="404"/>
      <c r="J150" s="400">
        <f t="shared" si="6"/>
        <v>0</v>
      </c>
    </row>
    <row r="151" spans="1:10" ht="19.5" customHeight="1">
      <c r="A151" s="186"/>
      <c r="B151" s="98" t="s">
        <v>99</v>
      </c>
      <c r="C151" s="53" t="s">
        <v>28</v>
      </c>
      <c r="D151" s="130">
        <f>D149*1.1</f>
        <v>1.6500000000000001</v>
      </c>
      <c r="E151" s="377">
        <v>250000</v>
      </c>
      <c r="F151" s="368">
        <f t="shared" si="8"/>
        <v>412500.00000000006</v>
      </c>
      <c r="G151" s="400">
        <v>350000</v>
      </c>
      <c r="H151" s="400">
        <f t="shared" si="7"/>
        <v>577500</v>
      </c>
      <c r="I151" s="400">
        <v>280000</v>
      </c>
      <c r="J151" s="400">
        <f t="shared" si="6"/>
        <v>462000.00000000006</v>
      </c>
    </row>
    <row r="152" spans="1:10" ht="19.5" customHeight="1">
      <c r="A152" s="187"/>
      <c r="B152" s="97" t="s">
        <v>100</v>
      </c>
      <c r="C152" s="54"/>
      <c r="D152" s="119"/>
      <c r="E152" s="384"/>
      <c r="F152" s="368">
        <f t="shared" si="8"/>
        <v>0</v>
      </c>
      <c r="G152" s="400"/>
      <c r="H152" s="400">
        <f t="shared" si="7"/>
        <v>0</v>
      </c>
      <c r="I152" s="400"/>
      <c r="J152" s="400">
        <f t="shared" si="6"/>
        <v>0</v>
      </c>
    </row>
    <row r="153" spans="1:10" ht="19.5" customHeight="1">
      <c r="A153" s="187"/>
      <c r="B153" s="97"/>
      <c r="C153" s="54"/>
      <c r="D153" s="119"/>
      <c r="E153" s="384"/>
      <c r="F153" s="368">
        <f t="shared" si="8"/>
        <v>0</v>
      </c>
      <c r="G153" s="400"/>
      <c r="H153" s="400">
        <f t="shared" si="7"/>
        <v>0</v>
      </c>
      <c r="I153" s="400"/>
      <c r="J153" s="400">
        <f t="shared" si="6"/>
        <v>0</v>
      </c>
    </row>
    <row r="154" spans="1:10" ht="19.5" customHeight="1">
      <c r="A154" s="184"/>
      <c r="B154" s="93" t="s">
        <v>19</v>
      </c>
      <c r="C154" s="22"/>
      <c r="D154" s="113"/>
      <c r="E154" s="374"/>
      <c r="F154" s="368">
        <f t="shared" si="8"/>
        <v>0</v>
      </c>
      <c r="G154" s="400"/>
      <c r="H154" s="400">
        <f t="shared" si="7"/>
        <v>0</v>
      </c>
      <c r="I154" s="400"/>
      <c r="J154" s="400">
        <f t="shared" si="6"/>
        <v>0</v>
      </c>
    </row>
    <row r="155" spans="1:10" s="56" customFormat="1" ht="19.5" customHeight="1">
      <c r="A155" s="184"/>
      <c r="B155" s="94" t="s">
        <v>22</v>
      </c>
      <c r="C155" s="22" t="s">
        <v>21</v>
      </c>
      <c r="D155" s="113">
        <f>D149/6</f>
        <v>0.25</v>
      </c>
      <c r="E155" s="374">
        <v>65000</v>
      </c>
      <c r="F155" s="368">
        <f t="shared" si="8"/>
        <v>16250</v>
      </c>
      <c r="G155" s="406">
        <v>5000</v>
      </c>
      <c r="H155" s="400">
        <f t="shared" si="7"/>
        <v>1250</v>
      </c>
      <c r="I155" s="406">
        <v>40000</v>
      </c>
      <c r="J155" s="400">
        <f t="shared" si="6"/>
        <v>10000</v>
      </c>
    </row>
    <row r="156" spans="1:10" ht="19.5" customHeight="1">
      <c r="A156" s="153"/>
      <c r="B156" s="93" t="s">
        <v>112</v>
      </c>
      <c r="C156" s="27"/>
      <c r="D156" s="116"/>
      <c r="E156" s="381"/>
      <c r="F156" s="368">
        <f t="shared" si="8"/>
        <v>0</v>
      </c>
      <c r="G156" s="400"/>
      <c r="H156" s="400">
        <f t="shared" si="7"/>
        <v>0</v>
      </c>
      <c r="I156" s="400"/>
      <c r="J156" s="400">
        <f t="shared" si="6"/>
        <v>0</v>
      </c>
    </row>
    <row r="157" spans="1:10" ht="19.5" customHeight="1">
      <c r="A157" s="153"/>
      <c r="B157" s="93"/>
      <c r="C157" s="27"/>
      <c r="D157" s="116"/>
      <c r="E157" s="381"/>
      <c r="F157" s="368">
        <f t="shared" si="8"/>
        <v>0</v>
      </c>
      <c r="G157" s="400"/>
      <c r="H157" s="400">
        <f t="shared" si="7"/>
        <v>0</v>
      </c>
      <c r="I157" s="400"/>
      <c r="J157" s="400">
        <f t="shared" si="6"/>
        <v>0</v>
      </c>
    </row>
    <row r="158" spans="1:10" ht="19.5" customHeight="1">
      <c r="A158" s="186"/>
      <c r="B158" s="98" t="s">
        <v>26</v>
      </c>
      <c r="C158" s="53" t="s">
        <v>21</v>
      </c>
      <c r="D158" s="130">
        <f>D155</f>
        <v>0.25</v>
      </c>
      <c r="E158" s="377">
        <v>55000</v>
      </c>
      <c r="F158" s="368">
        <f t="shared" si="8"/>
        <v>13750</v>
      </c>
      <c r="G158" s="400">
        <v>20000</v>
      </c>
      <c r="H158" s="400">
        <f t="shared" si="7"/>
        <v>5000</v>
      </c>
      <c r="I158" s="400">
        <v>20000</v>
      </c>
      <c r="J158" s="400">
        <f t="shared" si="6"/>
        <v>5000</v>
      </c>
    </row>
    <row r="159" spans="1:10" ht="19.5" customHeight="1">
      <c r="A159" s="187"/>
      <c r="B159" s="97" t="s">
        <v>113</v>
      </c>
      <c r="C159" s="54"/>
      <c r="D159" s="119"/>
      <c r="E159" s="384"/>
      <c r="F159" s="368">
        <f t="shared" si="8"/>
        <v>0</v>
      </c>
      <c r="G159" s="400"/>
      <c r="H159" s="400">
        <f t="shared" si="7"/>
        <v>0</v>
      </c>
      <c r="I159" s="400"/>
      <c r="J159" s="400">
        <f t="shared" si="6"/>
        <v>0</v>
      </c>
    </row>
    <row r="160" spans="1:10" s="56" customFormat="1" ht="19.5" customHeight="1">
      <c r="A160" s="187"/>
      <c r="B160" s="97"/>
      <c r="C160" s="54"/>
      <c r="D160" s="119"/>
      <c r="E160" s="384"/>
      <c r="F160" s="368">
        <f t="shared" si="8"/>
        <v>0</v>
      </c>
      <c r="G160" s="406"/>
      <c r="H160" s="400">
        <f t="shared" si="7"/>
        <v>0</v>
      </c>
      <c r="I160" s="406"/>
      <c r="J160" s="400">
        <f t="shared" si="6"/>
        <v>0</v>
      </c>
    </row>
    <row r="161" spans="1:10" s="60" customFormat="1" ht="19.5" customHeight="1">
      <c r="A161" s="155">
        <v>7</v>
      </c>
      <c r="B161" s="474" t="s">
        <v>73</v>
      </c>
      <c r="C161" s="474"/>
      <c r="D161" s="474"/>
      <c r="E161" s="372"/>
      <c r="F161" s="368">
        <f t="shared" si="8"/>
        <v>0</v>
      </c>
      <c r="G161" s="407"/>
      <c r="H161" s="400">
        <f t="shared" si="7"/>
        <v>0</v>
      </c>
      <c r="I161" s="407"/>
      <c r="J161" s="400">
        <f t="shared" si="6"/>
        <v>0</v>
      </c>
    </row>
    <row r="162" spans="1:10" ht="19.5" customHeight="1">
      <c r="A162" s="182">
        <v>7.01</v>
      </c>
      <c r="B162" s="15" t="s">
        <v>71</v>
      </c>
      <c r="C162" s="3" t="s">
        <v>28</v>
      </c>
      <c r="D162" s="112">
        <f>0.4*0.8*34</f>
        <v>10.880000000000003</v>
      </c>
      <c r="E162" s="371">
        <v>85069.756862745096</v>
      </c>
      <c r="F162" s="367">
        <f t="shared" si="8"/>
        <v>925558.95466666692</v>
      </c>
      <c r="G162" s="403"/>
      <c r="H162" s="367">
        <f>SUBTOTAL(9,H163:H172)</f>
        <v>851642.02666666685</v>
      </c>
      <c r="I162" s="403">
        <v>87826.137254901943</v>
      </c>
      <c r="J162" s="403">
        <f t="shared" si="6"/>
        <v>955548.37333333341</v>
      </c>
    </row>
    <row r="163" spans="1:10" ht="19.5" customHeight="1">
      <c r="A163" s="181"/>
      <c r="B163" s="7" t="s">
        <v>29</v>
      </c>
      <c r="C163" s="8"/>
      <c r="D163" s="192"/>
      <c r="E163" s="368"/>
      <c r="F163" s="368">
        <f t="shared" si="8"/>
        <v>0</v>
      </c>
      <c r="G163" s="400"/>
      <c r="H163" s="400">
        <f t="shared" si="7"/>
        <v>0</v>
      </c>
      <c r="I163" s="400"/>
      <c r="J163" s="400">
        <f t="shared" si="6"/>
        <v>0</v>
      </c>
    </row>
    <row r="164" spans="1:10" ht="19.5" customHeight="1">
      <c r="A164" s="181"/>
      <c r="B164" s="12" t="s">
        <v>30</v>
      </c>
      <c r="C164" s="8" t="s">
        <v>28</v>
      </c>
      <c r="D164" s="128">
        <f>D162*(10/17)*1.57</f>
        <v>10.048000000000004</v>
      </c>
      <c r="E164" s="368">
        <v>33500</v>
      </c>
      <c r="F164" s="368">
        <f t="shared" si="8"/>
        <v>336608.00000000012</v>
      </c>
      <c r="G164" s="400">
        <v>15000</v>
      </c>
      <c r="H164" s="400">
        <f t="shared" si="7"/>
        <v>150720.00000000006</v>
      </c>
      <c r="I164" s="400">
        <v>25000</v>
      </c>
      <c r="J164" s="400">
        <f t="shared" si="6"/>
        <v>251200.00000000009</v>
      </c>
    </row>
    <row r="165" spans="1:10" ht="19.5" customHeight="1">
      <c r="A165" s="181"/>
      <c r="B165" s="12" t="s">
        <v>11</v>
      </c>
      <c r="C165" s="8" t="s">
        <v>31</v>
      </c>
      <c r="D165" s="113">
        <f>D162*(1/17)*1.57*(1440/50)</f>
        <v>28.938240000000004</v>
      </c>
      <c r="E165" s="368">
        <v>11200</v>
      </c>
      <c r="F165" s="368">
        <f t="shared" si="8"/>
        <v>324108.28800000006</v>
      </c>
      <c r="G165" s="400">
        <v>14000</v>
      </c>
      <c r="H165" s="400">
        <f t="shared" si="7"/>
        <v>405135.36000000004</v>
      </c>
      <c r="I165" s="400">
        <v>13500</v>
      </c>
      <c r="J165" s="400">
        <f t="shared" si="6"/>
        <v>390666.24000000005</v>
      </c>
    </row>
    <row r="166" spans="1:10" ht="19.5" customHeight="1">
      <c r="A166" s="181"/>
      <c r="B166" s="12" t="s">
        <v>32</v>
      </c>
      <c r="C166" s="8" t="s">
        <v>28</v>
      </c>
      <c r="D166" s="113">
        <f>D162*(6/17)*1.57</f>
        <v>6.0288000000000022</v>
      </c>
      <c r="E166" s="368">
        <v>32500</v>
      </c>
      <c r="F166" s="368">
        <f t="shared" si="8"/>
        <v>195936.00000000006</v>
      </c>
      <c r="G166" s="400">
        <v>25000</v>
      </c>
      <c r="H166" s="400">
        <f t="shared" si="7"/>
        <v>150720.00000000006</v>
      </c>
      <c r="I166" s="400">
        <v>40000</v>
      </c>
      <c r="J166" s="400">
        <f t="shared" si="6"/>
        <v>241152.00000000009</v>
      </c>
    </row>
    <row r="167" spans="1:10" ht="19.5" customHeight="1">
      <c r="A167" s="181"/>
      <c r="B167" s="7" t="s">
        <v>5</v>
      </c>
      <c r="C167" s="8"/>
      <c r="D167" s="128"/>
      <c r="E167" s="378"/>
      <c r="F167" s="368">
        <f t="shared" si="8"/>
        <v>0</v>
      </c>
      <c r="G167" s="400"/>
      <c r="H167" s="400">
        <f t="shared" si="7"/>
        <v>0</v>
      </c>
      <c r="I167" s="400"/>
      <c r="J167" s="400">
        <f t="shared" si="6"/>
        <v>0</v>
      </c>
    </row>
    <row r="168" spans="1:10" ht="19.5" customHeight="1">
      <c r="A168" s="181"/>
      <c r="B168" s="12"/>
      <c r="C168" s="8"/>
      <c r="D168" s="128"/>
      <c r="E168" s="368"/>
      <c r="F168" s="368">
        <f t="shared" si="8"/>
        <v>0</v>
      </c>
      <c r="G168" s="400"/>
      <c r="H168" s="400">
        <f t="shared" si="7"/>
        <v>0</v>
      </c>
      <c r="I168" s="400"/>
      <c r="J168" s="400">
        <f t="shared" si="6"/>
        <v>0</v>
      </c>
    </row>
    <row r="169" spans="1:10" ht="19.5" customHeight="1">
      <c r="A169" s="180"/>
      <c r="B169" s="7" t="s">
        <v>33</v>
      </c>
      <c r="C169" s="8"/>
      <c r="D169" s="128"/>
      <c r="E169" s="368"/>
      <c r="F169" s="368">
        <f t="shared" si="8"/>
        <v>0</v>
      </c>
      <c r="G169" s="400"/>
      <c r="H169" s="400">
        <f t="shared" si="7"/>
        <v>0</v>
      </c>
      <c r="I169" s="400"/>
      <c r="J169" s="400">
        <f t="shared" si="6"/>
        <v>0</v>
      </c>
    </row>
    <row r="170" spans="1:10" ht="19.5" customHeight="1">
      <c r="A170" s="180"/>
      <c r="B170" s="12" t="s">
        <v>34</v>
      </c>
      <c r="C170" s="8" t="s">
        <v>21</v>
      </c>
      <c r="D170" s="128">
        <f>D162/1.5</f>
        <v>7.2533333333333347</v>
      </c>
      <c r="E170" s="368">
        <v>4500</v>
      </c>
      <c r="F170" s="368">
        <f t="shared" si="8"/>
        <v>32640.000000000007</v>
      </c>
      <c r="G170" s="400">
        <v>10000</v>
      </c>
      <c r="H170" s="400">
        <f t="shared" si="7"/>
        <v>72533.333333333343</v>
      </c>
      <c r="I170" s="400">
        <v>5000</v>
      </c>
      <c r="J170" s="400">
        <f t="shared" si="6"/>
        <v>36266.666666666672</v>
      </c>
    </row>
    <row r="171" spans="1:10" ht="19.5" customHeight="1">
      <c r="A171" s="180"/>
      <c r="B171" s="12" t="s">
        <v>7</v>
      </c>
      <c r="C171" s="8" t="s">
        <v>21</v>
      </c>
      <c r="D171" s="128">
        <f>+D170*2</f>
        <v>14.506666666666669</v>
      </c>
      <c r="E171" s="368">
        <v>2500</v>
      </c>
      <c r="F171" s="368">
        <f t="shared" si="8"/>
        <v>36266.666666666672</v>
      </c>
      <c r="G171" s="400">
        <v>5000</v>
      </c>
      <c r="H171" s="400">
        <f t="shared" si="7"/>
        <v>72533.333333333343</v>
      </c>
      <c r="I171" s="400">
        <v>2582.5</v>
      </c>
      <c r="J171" s="400">
        <f t="shared" si="6"/>
        <v>37463.466666666674</v>
      </c>
    </row>
    <row r="172" spans="1:10" ht="19.5" customHeight="1">
      <c r="A172" s="153"/>
      <c r="B172" s="93" t="s">
        <v>9</v>
      </c>
      <c r="C172" s="27"/>
      <c r="D172" s="116"/>
      <c r="E172" s="381"/>
      <c r="F172" s="368">
        <f t="shared" si="8"/>
        <v>0</v>
      </c>
      <c r="G172" s="400"/>
      <c r="H172" s="400">
        <f t="shared" si="7"/>
        <v>0</v>
      </c>
      <c r="I172" s="400"/>
      <c r="J172" s="400">
        <f t="shared" si="6"/>
        <v>0</v>
      </c>
    </row>
    <row r="173" spans="1:10" ht="19.5" customHeight="1">
      <c r="A173" s="179">
        <v>8.01</v>
      </c>
      <c r="B173" s="15" t="s">
        <v>35</v>
      </c>
      <c r="C173" s="34" t="s">
        <v>36</v>
      </c>
      <c r="D173" s="131">
        <f>34*0.25</f>
        <v>8.5</v>
      </c>
      <c r="E173" s="367">
        <v>980</v>
      </c>
      <c r="F173" s="367">
        <f t="shared" si="8"/>
        <v>8330</v>
      </c>
      <c r="G173" s="403"/>
      <c r="H173" s="367">
        <f>SUBTOTAL(9,H174:H183)</f>
        <v>22950</v>
      </c>
      <c r="I173" s="403">
        <v>4500</v>
      </c>
      <c r="J173" s="403">
        <f t="shared" si="6"/>
        <v>38250</v>
      </c>
    </row>
    <row r="174" spans="1:10" ht="19.5" customHeight="1">
      <c r="A174" s="181"/>
      <c r="B174" s="7" t="s">
        <v>29</v>
      </c>
      <c r="C174" s="8"/>
      <c r="D174" s="128"/>
      <c r="E174" s="368"/>
      <c r="F174" s="368">
        <f t="shared" si="8"/>
        <v>0</v>
      </c>
      <c r="G174" s="400"/>
      <c r="H174" s="400">
        <f t="shared" si="7"/>
        <v>0</v>
      </c>
      <c r="I174" s="400"/>
      <c r="J174" s="400">
        <f t="shared" si="6"/>
        <v>0</v>
      </c>
    </row>
    <row r="175" spans="1:10" ht="19.5" customHeight="1">
      <c r="A175" s="180"/>
      <c r="B175" s="12" t="s">
        <v>37</v>
      </c>
      <c r="C175" s="8" t="s">
        <v>38</v>
      </c>
      <c r="D175" s="128">
        <f>D173</f>
        <v>8.5</v>
      </c>
      <c r="E175" s="143">
        <v>500</v>
      </c>
      <c r="F175" s="368">
        <f t="shared" si="8"/>
        <v>4250</v>
      </c>
      <c r="G175" s="143">
        <v>2500</v>
      </c>
      <c r="H175" s="400">
        <f t="shared" si="7"/>
        <v>21250</v>
      </c>
      <c r="I175" s="400">
        <v>4000</v>
      </c>
      <c r="J175" s="400">
        <f t="shared" si="6"/>
        <v>34000</v>
      </c>
    </row>
    <row r="176" spans="1:10" ht="19.5" customHeight="1">
      <c r="A176" s="155"/>
      <c r="B176" s="7" t="s">
        <v>5</v>
      </c>
      <c r="C176" s="11"/>
      <c r="D176" s="129"/>
      <c r="E176" s="378"/>
      <c r="F176" s="368">
        <f t="shared" si="8"/>
        <v>0</v>
      </c>
      <c r="G176" s="400"/>
      <c r="H176" s="400">
        <f t="shared" si="7"/>
        <v>0</v>
      </c>
      <c r="I176" s="400"/>
      <c r="J176" s="400">
        <f t="shared" si="6"/>
        <v>0</v>
      </c>
    </row>
    <row r="177" spans="1:10" ht="19.5" customHeight="1">
      <c r="A177" s="180"/>
      <c r="B177" s="12"/>
      <c r="C177" s="8"/>
      <c r="D177" s="128"/>
      <c r="E177" s="368"/>
      <c r="F177" s="368">
        <f t="shared" si="8"/>
        <v>0</v>
      </c>
      <c r="G177" s="400"/>
      <c r="H177" s="400">
        <f t="shared" si="7"/>
        <v>0</v>
      </c>
      <c r="I177" s="400"/>
      <c r="J177" s="400">
        <f t="shared" si="6"/>
        <v>0</v>
      </c>
    </row>
    <row r="178" spans="1:10" ht="19.5" customHeight="1">
      <c r="A178" s="214"/>
      <c r="B178" s="7" t="s">
        <v>33</v>
      </c>
      <c r="C178" s="8"/>
      <c r="D178" s="128"/>
      <c r="E178" s="368"/>
      <c r="F178" s="368">
        <f t="shared" si="8"/>
        <v>0</v>
      </c>
      <c r="G178" s="400"/>
      <c r="H178" s="400">
        <f t="shared" si="7"/>
        <v>0</v>
      </c>
      <c r="I178" s="400"/>
      <c r="J178" s="400">
        <f t="shared" si="6"/>
        <v>0</v>
      </c>
    </row>
    <row r="179" spans="1:10" ht="19.5" customHeight="1">
      <c r="A179" s="180"/>
      <c r="B179" s="12" t="s">
        <v>34</v>
      </c>
      <c r="C179" s="8" t="s">
        <v>21</v>
      </c>
      <c r="D179" s="113">
        <f>D173/100</f>
        <v>8.5000000000000006E-2</v>
      </c>
      <c r="E179" s="368">
        <v>18000</v>
      </c>
      <c r="F179" s="368">
        <f t="shared" si="8"/>
        <v>1530</v>
      </c>
      <c r="G179" s="400">
        <v>10000</v>
      </c>
      <c r="H179" s="400">
        <f t="shared" si="7"/>
        <v>850.00000000000011</v>
      </c>
      <c r="I179" s="400">
        <v>50000</v>
      </c>
      <c r="J179" s="400">
        <f t="shared" si="6"/>
        <v>4250</v>
      </c>
    </row>
    <row r="180" spans="1:10" ht="19.5" customHeight="1">
      <c r="A180" s="180"/>
      <c r="B180" s="12" t="s">
        <v>7</v>
      </c>
      <c r="C180" s="8" t="s">
        <v>21</v>
      </c>
      <c r="D180" s="128">
        <f>+D179*2</f>
        <v>0.17</v>
      </c>
      <c r="E180" s="368">
        <v>15000</v>
      </c>
      <c r="F180" s="368">
        <f t="shared" si="8"/>
        <v>2550</v>
      </c>
      <c r="G180" s="400">
        <v>5000</v>
      </c>
      <c r="H180" s="400">
        <f t="shared" si="7"/>
        <v>850.00000000000011</v>
      </c>
      <c r="I180" s="400">
        <v>10000</v>
      </c>
      <c r="J180" s="400">
        <f t="shared" si="6"/>
        <v>1700.0000000000002</v>
      </c>
    </row>
    <row r="181" spans="1:10" ht="19.5" customHeight="1">
      <c r="A181" s="155"/>
      <c r="B181" s="7" t="s">
        <v>39</v>
      </c>
      <c r="C181" s="11"/>
      <c r="D181" s="129"/>
      <c r="E181" s="378"/>
      <c r="F181" s="368">
        <f t="shared" si="8"/>
        <v>0</v>
      </c>
      <c r="G181" s="400"/>
      <c r="H181" s="400">
        <f t="shared" si="7"/>
        <v>0</v>
      </c>
      <c r="I181" s="400"/>
      <c r="J181" s="400">
        <f t="shared" si="6"/>
        <v>0</v>
      </c>
    </row>
    <row r="182" spans="1:10" ht="19.5" customHeight="1">
      <c r="A182" s="155"/>
      <c r="B182" s="7"/>
      <c r="C182" s="11"/>
      <c r="D182" s="129"/>
      <c r="E182" s="378"/>
      <c r="F182" s="368">
        <f t="shared" si="8"/>
        <v>0</v>
      </c>
      <c r="G182" s="400"/>
      <c r="H182" s="400">
        <f t="shared" si="7"/>
        <v>0</v>
      </c>
      <c r="I182" s="400"/>
      <c r="J182" s="400">
        <f t="shared" si="6"/>
        <v>0</v>
      </c>
    </row>
    <row r="183" spans="1:10" s="86" customFormat="1" ht="19.5" customHeight="1">
      <c r="A183" s="153">
        <v>9</v>
      </c>
      <c r="B183" s="475" t="s">
        <v>72</v>
      </c>
      <c r="C183" s="475"/>
      <c r="D183" s="475"/>
      <c r="E183" s="376"/>
      <c r="F183" s="368">
        <f t="shared" si="8"/>
        <v>0</v>
      </c>
      <c r="G183" s="409"/>
      <c r="H183" s="400">
        <f t="shared" si="7"/>
        <v>0</v>
      </c>
      <c r="I183" s="409"/>
      <c r="J183" s="400">
        <f t="shared" si="6"/>
        <v>0</v>
      </c>
    </row>
    <row r="184" spans="1:10" s="86" customFormat="1" ht="19.5" customHeight="1">
      <c r="A184" s="153"/>
      <c r="B184" s="365"/>
      <c r="C184" s="365"/>
      <c r="D184" s="365"/>
      <c r="E184" s="376"/>
      <c r="F184" s="368">
        <f t="shared" si="8"/>
        <v>0</v>
      </c>
      <c r="G184" s="409"/>
      <c r="H184" s="400">
        <f t="shared" si="7"/>
        <v>0</v>
      </c>
      <c r="I184" s="409"/>
      <c r="J184" s="400">
        <f t="shared" si="6"/>
        <v>0</v>
      </c>
    </row>
    <row r="185" spans="1:10" s="86" customFormat="1" ht="19.5" customHeight="1">
      <c r="A185" s="153"/>
      <c r="B185" s="365"/>
      <c r="C185" s="365"/>
      <c r="D185" s="365"/>
      <c r="E185" s="376"/>
      <c r="F185" s="368">
        <f t="shared" si="8"/>
        <v>0</v>
      </c>
      <c r="G185" s="409"/>
      <c r="H185" s="400">
        <f t="shared" si="7"/>
        <v>0</v>
      </c>
      <c r="I185" s="409"/>
      <c r="J185" s="400">
        <f t="shared" si="6"/>
        <v>0</v>
      </c>
    </row>
    <row r="186" spans="1:10" ht="19.5" customHeight="1">
      <c r="A186" s="179">
        <v>9.01</v>
      </c>
      <c r="B186" s="15" t="s">
        <v>40</v>
      </c>
      <c r="C186" s="3" t="s">
        <v>1</v>
      </c>
      <c r="D186" s="112">
        <f>(34*3)-(3.78+1.5)</f>
        <v>96.72</v>
      </c>
      <c r="E186" s="371">
        <v>17119.951541547674</v>
      </c>
      <c r="F186" s="367">
        <f t="shared" si="8"/>
        <v>1655841.7130984911</v>
      </c>
      <c r="G186" s="403"/>
      <c r="H186" s="367">
        <f>SUBTOTAL(9,H187:H196)</f>
        <v>1887840.2500520549</v>
      </c>
      <c r="I186" s="403">
        <v>18861.190048479115</v>
      </c>
      <c r="J186" s="403">
        <f t="shared" si="6"/>
        <v>1824254.3014888999</v>
      </c>
    </row>
    <row r="187" spans="1:10" ht="19.5" customHeight="1">
      <c r="A187" s="183"/>
      <c r="B187" s="99"/>
      <c r="C187" s="19" t="s">
        <v>28</v>
      </c>
      <c r="D187" s="231">
        <f>D186*0.2</f>
        <v>19.344000000000001</v>
      </c>
      <c r="E187" s="373">
        <v>85599.757707738361</v>
      </c>
      <c r="F187" s="368">
        <f t="shared" si="8"/>
        <v>1655841.7130984911</v>
      </c>
      <c r="G187" s="400"/>
      <c r="H187" s="400">
        <f t="shared" si="7"/>
        <v>0</v>
      </c>
      <c r="I187" s="400">
        <v>94306</v>
      </c>
      <c r="J187" s="400">
        <f t="shared" si="6"/>
        <v>1824255.2640000002</v>
      </c>
    </row>
    <row r="188" spans="1:10" ht="19.5" customHeight="1">
      <c r="A188" s="180"/>
      <c r="B188" s="7" t="s">
        <v>2</v>
      </c>
      <c r="C188" s="8"/>
      <c r="D188" s="128"/>
      <c r="E188" s="368"/>
      <c r="F188" s="368">
        <f t="shared" si="8"/>
        <v>0</v>
      </c>
      <c r="G188" s="400"/>
      <c r="H188" s="400">
        <f t="shared" si="7"/>
        <v>0</v>
      </c>
      <c r="I188" s="400"/>
      <c r="J188" s="400">
        <f t="shared" si="6"/>
        <v>0</v>
      </c>
    </row>
    <row r="189" spans="1:10" ht="19.5" customHeight="1">
      <c r="A189" s="180"/>
      <c r="B189" s="46" t="s">
        <v>41</v>
      </c>
      <c r="C189" s="8" t="s">
        <v>31</v>
      </c>
      <c r="D189" s="113">
        <f>D187*0.2439*(1/7)*1.54*(1440/50)</f>
        <v>29.893258137599997</v>
      </c>
      <c r="E189" s="368">
        <v>11200</v>
      </c>
      <c r="F189" s="368">
        <f t="shared" si="8"/>
        <v>334804.49114111997</v>
      </c>
      <c r="G189" s="400">
        <v>14000</v>
      </c>
      <c r="H189" s="400">
        <f t="shared" si="7"/>
        <v>418505.61392639996</v>
      </c>
      <c r="I189" s="400">
        <v>13500</v>
      </c>
      <c r="J189" s="400">
        <f t="shared" si="6"/>
        <v>403558.98485759995</v>
      </c>
    </row>
    <row r="190" spans="1:10" ht="19.5" customHeight="1">
      <c r="A190" s="180"/>
      <c r="B190" s="46" t="s">
        <v>42</v>
      </c>
      <c r="C190" s="8" t="s">
        <v>28</v>
      </c>
      <c r="D190" s="113">
        <f>D187*0.2439*(6/7)*1.54</f>
        <v>6.2277621119999997</v>
      </c>
      <c r="E190" s="368">
        <v>30500</v>
      </c>
      <c r="F190" s="368">
        <f t="shared" si="8"/>
        <v>189946.744416</v>
      </c>
      <c r="G190" s="400">
        <v>27000</v>
      </c>
      <c r="H190" s="400">
        <f t="shared" si="7"/>
        <v>168149.577024</v>
      </c>
      <c r="I190" s="400">
        <v>40000</v>
      </c>
      <c r="J190" s="400">
        <f t="shared" si="6"/>
        <v>249110.48447999998</v>
      </c>
    </row>
    <row r="191" spans="1:10" ht="19.5" customHeight="1">
      <c r="A191" s="180"/>
      <c r="B191" s="46" t="s">
        <v>43</v>
      </c>
      <c r="C191" s="8" t="s">
        <v>44</v>
      </c>
      <c r="D191" s="113">
        <f>D187*1.15/(0.235*0.1125*0.075)</f>
        <v>11219.215130023642</v>
      </c>
      <c r="E191" s="368">
        <v>58</v>
      </c>
      <c r="F191" s="368">
        <f t="shared" si="8"/>
        <v>650714.47754137125</v>
      </c>
      <c r="G191" s="400">
        <v>70</v>
      </c>
      <c r="H191" s="400">
        <f t="shared" si="7"/>
        <v>785345.05910165492</v>
      </c>
      <c r="I191" s="400">
        <v>55</v>
      </c>
      <c r="J191" s="400">
        <f t="shared" si="6"/>
        <v>617056.83215130027</v>
      </c>
    </row>
    <row r="192" spans="1:10" ht="19.5" customHeight="1">
      <c r="A192" s="155"/>
      <c r="B192" s="57" t="s">
        <v>5</v>
      </c>
      <c r="C192" s="11"/>
      <c r="D192" s="116"/>
      <c r="E192" s="378"/>
      <c r="F192" s="368">
        <f t="shared" si="8"/>
        <v>0</v>
      </c>
      <c r="G192" s="400"/>
      <c r="H192" s="400">
        <f t="shared" si="7"/>
        <v>0</v>
      </c>
      <c r="I192" s="400"/>
      <c r="J192" s="400">
        <f t="shared" si="6"/>
        <v>0</v>
      </c>
    </row>
    <row r="193" spans="1:10" ht="19.5" customHeight="1">
      <c r="A193" s="180"/>
      <c r="B193" s="46"/>
      <c r="C193" s="8"/>
      <c r="D193" s="113"/>
      <c r="E193" s="368"/>
      <c r="F193" s="368">
        <f t="shared" si="8"/>
        <v>0</v>
      </c>
      <c r="G193" s="400"/>
      <c r="H193" s="400">
        <f t="shared" si="7"/>
        <v>0</v>
      </c>
      <c r="I193" s="400"/>
      <c r="J193" s="400">
        <f t="shared" si="6"/>
        <v>0</v>
      </c>
    </row>
    <row r="194" spans="1:10" ht="19.5" customHeight="1">
      <c r="A194" s="180"/>
      <c r="B194" s="7" t="s">
        <v>6</v>
      </c>
      <c r="C194" s="8"/>
      <c r="D194" s="128"/>
      <c r="E194" s="368"/>
      <c r="F194" s="368">
        <f t="shared" si="8"/>
        <v>0</v>
      </c>
      <c r="G194" s="400"/>
      <c r="H194" s="400">
        <f t="shared" si="7"/>
        <v>0</v>
      </c>
      <c r="I194" s="400"/>
      <c r="J194" s="400">
        <f t="shared" si="6"/>
        <v>0</v>
      </c>
    </row>
    <row r="195" spans="1:10" ht="19.5" customHeight="1">
      <c r="A195" s="180"/>
      <c r="B195" s="12" t="s">
        <v>34</v>
      </c>
      <c r="C195" s="8" t="s">
        <v>8</v>
      </c>
      <c r="D195" s="128">
        <f>D187/1</f>
        <v>19.344000000000001</v>
      </c>
      <c r="E195" s="416">
        <v>6500</v>
      </c>
      <c r="F195" s="368">
        <f t="shared" si="8"/>
        <v>125736.00000000001</v>
      </c>
      <c r="G195" s="143">
        <v>10000</v>
      </c>
      <c r="H195" s="400">
        <f t="shared" si="7"/>
        <v>193440</v>
      </c>
      <c r="I195" s="400">
        <v>12000</v>
      </c>
      <c r="J195" s="400">
        <f t="shared" si="6"/>
        <v>232128</v>
      </c>
    </row>
    <row r="196" spans="1:10" ht="19.5" customHeight="1">
      <c r="A196" s="180"/>
      <c r="B196" s="12" t="s">
        <v>7</v>
      </c>
      <c r="C196" s="8" t="s">
        <v>8</v>
      </c>
      <c r="D196" s="113">
        <f>(D187/1.2)*4</f>
        <v>64.48</v>
      </c>
      <c r="E196" s="416">
        <v>5500</v>
      </c>
      <c r="F196" s="368">
        <f t="shared" si="8"/>
        <v>354640</v>
      </c>
      <c r="G196" s="143">
        <v>5000</v>
      </c>
      <c r="H196" s="400">
        <f t="shared" si="7"/>
        <v>322400</v>
      </c>
      <c r="I196" s="400">
        <v>5000</v>
      </c>
      <c r="J196" s="400">
        <f t="shared" si="6"/>
        <v>322400</v>
      </c>
    </row>
    <row r="197" spans="1:10" ht="19.5" customHeight="1">
      <c r="A197" s="159"/>
      <c r="B197" s="57" t="s">
        <v>9</v>
      </c>
      <c r="C197" s="58"/>
      <c r="D197" s="13"/>
      <c r="E197" s="369"/>
      <c r="F197" s="368">
        <f t="shared" si="8"/>
        <v>0</v>
      </c>
      <c r="G197" s="400"/>
      <c r="H197" s="400">
        <f t="shared" si="7"/>
        <v>0</v>
      </c>
      <c r="I197" s="400"/>
      <c r="J197" s="400">
        <f t="shared" ref="J197:J260" si="9">D197*I197</f>
        <v>0</v>
      </c>
    </row>
    <row r="198" spans="1:10" ht="19.5" customHeight="1">
      <c r="A198" s="159"/>
      <c r="B198" s="57"/>
      <c r="C198" s="58"/>
      <c r="D198" s="13"/>
      <c r="E198" s="369"/>
      <c r="F198" s="368">
        <f t="shared" si="8"/>
        <v>0</v>
      </c>
      <c r="G198" s="400"/>
      <c r="H198" s="400">
        <f t="shared" si="7"/>
        <v>0</v>
      </c>
      <c r="I198" s="400"/>
      <c r="J198" s="400">
        <f t="shared" si="9"/>
        <v>0</v>
      </c>
    </row>
    <row r="199" spans="1:10" s="86" customFormat="1" ht="19.5" customHeight="1">
      <c r="A199" s="159">
        <v>10</v>
      </c>
      <c r="B199" s="467" t="s">
        <v>79</v>
      </c>
      <c r="C199" s="467"/>
      <c r="D199" s="467"/>
      <c r="E199" s="372"/>
      <c r="F199" s="368">
        <f t="shared" si="8"/>
        <v>0</v>
      </c>
      <c r="G199" s="409"/>
      <c r="H199" s="400">
        <f t="shared" ref="H199:H262" si="10">D199*G199</f>
        <v>0</v>
      </c>
      <c r="I199" s="409"/>
      <c r="J199" s="400">
        <f t="shared" si="9"/>
        <v>0</v>
      </c>
    </row>
    <row r="200" spans="1:10" ht="19.5">
      <c r="A200" s="179">
        <v>10.01</v>
      </c>
      <c r="B200" s="2" t="s">
        <v>74</v>
      </c>
      <c r="C200" s="14" t="s">
        <v>45</v>
      </c>
      <c r="D200" s="160">
        <f>9.5*0.25*0.2</f>
        <v>0.47500000000000003</v>
      </c>
      <c r="E200" s="371">
        <v>176677.80673635306</v>
      </c>
      <c r="F200" s="367">
        <f t="shared" ref="F200:F263" si="11">D200*E200</f>
        <v>83921.958199767701</v>
      </c>
      <c r="G200" s="403"/>
      <c r="H200" s="367">
        <f>SUBTOTAL(9,H201:H218)</f>
        <v>71218.323403019749</v>
      </c>
      <c r="I200" s="403">
        <v>300000</v>
      </c>
      <c r="J200" s="403">
        <f t="shared" si="9"/>
        <v>142500</v>
      </c>
    </row>
    <row r="201" spans="1:10" ht="19.5">
      <c r="A201" s="214"/>
      <c r="B201" s="161" t="s">
        <v>29</v>
      </c>
      <c r="C201" s="162"/>
      <c r="D201" s="232"/>
      <c r="E201" s="379"/>
      <c r="F201" s="368">
        <f t="shared" si="11"/>
        <v>0</v>
      </c>
      <c r="G201" s="400"/>
      <c r="H201" s="400">
        <f t="shared" si="10"/>
        <v>0</v>
      </c>
      <c r="I201" s="400"/>
      <c r="J201" s="400">
        <f t="shared" si="9"/>
        <v>0</v>
      </c>
    </row>
    <row r="202" spans="1:10" ht="19.5">
      <c r="A202" s="214"/>
      <c r="B202" s="164" t="s">
        <v>14</v>
      </c>
      <c r="C202" s="17" t="s">
        <v>45</v>
      </c>
      <c r="D202" s="232">
        <f>D200*(4/7)*1.57</f>
        <v>0.4261428571428571</v>
      </c>
      <c r="E202" s="379">
        <v>48000</v>
      </c>
      <c r="F202" s="368">
        <f t="shared" si="11"/>
        <v>20454.857142857141</v>
      </c>
      <c r="G202" s="400">
        <v>27000</v>
      </c>
      <c r="H202" s="400">
        <f t="shared" si="10"/>
        <v>11505.857142857141</v>
      </c>
      <c r="I202" s="400">
        <v>48312</v>
      </c>
      <c r="J202" s="400">
        <f t="shared" si="9"/>
        <v>20587.813714285712</v>
      </c>
    </row>
    <row r="203" spans="1:10" ht="19.5">
      <c r="A203" s="214"/>
      <c r="B203" s="164" t="s">
        <v>13</v>
      </c>
      <c r="C203" s="17" t="s">
        <v>45</v>
      </c>
      <c r="D203" s="232">
        <f>D200*(2/7)*1.54</f>
        <v>0.20899999999999999</v>
      </c>
      <c r="E203" s="379">
        <v>36500</v>
      </c>
      <c r="F203" s="368">
        <f t="shared" si="11"/>
        <v>7628.5</v>
      </c>
      <c r="G203" s="400">
        <v>25000</v>
      </c>
      <c r="H203" s="400">
        <f t="shared" si="10"/>
        <v>5225</v>
      </c>
      <c r="I203" s="400">
        <v>40000</v>
      </c>
      <c r="J203" s="400">
        <f t="shared" si="9"/>
        <v>8360</v>
      </c>
    </row>
    <row r="204" spans="1:10" ht="19.5">
      <c r="A204" s="214"/>
      <c r="B204" s="164" t="s">
        <v>11</v>
      </c>
      <c r="C204" s="162" t="s">
        <v>12</v>
      </c>
      <c r="D204" s="232">
        <f>D200*(1/7)*1.57*(1440/50)</f>
        <v>3.0682285714285711</v>
      </c>
      <c r="E204" s="379">
        <v>11200</v>
      </c>
      <c r="F204" s="368">
        <f t="shared" si="11"/>
        <v>34364.159999999996</v>
      </c>
      <c r="G204" s="400">
        <v>14000</v>
      </c>
      <c r="H204" s="400">
        <f t="shared" si="10"/>
        <v>42955.199999999997</v>
      </c>
      <c r="I204" s="400">
        <v>13500</v>
      </c>
      <c r="J204" s="400">
        <f t="shared" si="9"/>
        <v>41421.085714285713</v>
      </c>
    </row>
    <row r="205" spans="1:10" ht="19.5">
      <c r="A205" s="186"/>
      <c r="B205" s="98" t="s">
        <v>15</v>
      </c>
      <c r="C205" s="53" t="s">
        <v>16</v>
      </c>
      <c r="D205" s="130">
        <f>D210*10</f>
        <v>0.79166666666666674</v>
      </c>
      <c r="E205" s="377">
        <v>2200</v>
      </c>
      <c r="F205" s="368">
        <f t="shared" si="11"/>
        <v>1741.6666666666667</v>
      </c>
      <c r="G205" s="400">
        <v>2000</v>
      </c>
      <c r="H205" s="400">
        <f t="shared" si="10"/>
        <v>1583.3333333333335</v>
      </c>
      <c r="I205" s="400">
        <v>2000</v>
      </c>
      <c r="J205" s="400">
        <f t="shared" si="9"/>
        <v>1583.3333333333335</v>
      </c>
    </row>
    <row r="206" spans="1:10" ht="19.5">
      <c r="A206" s="186"/>
      <c r="B206" s="98" t="s">
        <v>17</v>
      </c>
      <c r="C206" s="53" t="s">
        <v>16</v>
      </c>
      <c r="D206" s="130">
        <f>D211*5</f>
        <v>0.39583333333333337</v>
      </c>
      <c r="E206" s="377">
        <v>1900</v>
      </c>
      <c r="F206" s="368">
        <f t="shared" si="11"/>
        <v>752.08333333333337</v>
      </c>
      <c r="G206" s="400">
        <v>2500</v>
      </c>
      <c r="H206" s="400">
        <f t="shared" si="10"/>
        <v>989.58333333333337</v>
      </c>
      <c r="I206" s="400">
        <v>3000</v>
      </c>
      <c r="J206" s="400">
        <f t="shared" si="9"/>
        <v>1187.5</v>
      </c>
    </row>
    <row r="207" spans="1:10" ht="19.5">
      <c r="A207" s="214"/>
      <c r="B207" s="161" t="s">
        <v>5</v>
      </c>
      <c r="C207" s="162"/>
      <c r="D207" s="232"/>
      <c r="E207" s="385"/>
      <c r="F207" s="368">
        <f t="shared" si="11"/>
        <v>0</v>
      </c>
      <c r="G207" s="400"/>
      <c r="H207" s="400">
        <f t="shared" si="10"/>
        <v>0</v>
      </c>
      <c r="I207" s="400"/>
      <c r="J207" s="400">
        <f t="shared" si="9"/>
        <v>0</v>
      </c>
    </row>
    <row r="208" spans="1:10" ht="19.5">
      <c r="A208" s="214"/>
      <c r="B208" s="164"/>
      <c r="C208" s="162"/>
      <c r="D208" s="232"/>
      <c r="E208" s="379"/>
      <c r="F208" s="368">
        <f t="shared" si="11"/>
        <v>0</v>
      </c>
      <c r="G208" s="400"/>
      <c r="H208" s="400">
        <f t="shared" si="10"/>
        <v>0</v>
      </c>
      <c r="I208" s="400"/>
      <c r="J208" s="400">
        <f t="shared" si="9"/>
        <v>0</v>
      </c>
    </row>
    <row r="209" spans="1:10" ht="19.5">
      <c r="A209" s="186"/>
      <c r="B209" s="97" t="s">
        <v>19</v>
      </c>
      <c r="C209" s="53"/>
      <c r="D209" s="130"/>
      <c r="E209" s="377"/>
      <c r="F209" s="368">
        <f t="shared" si="11"/>
        <v>0</v>
      </c>
      <c r="G209" s="400"/>
      <c r="H209" s="400">
        <f t="shared" si="10"/>
        <v>0</v>
      </c>
      <c r="I209" s="400"/>
      <c r="J209" s="400">
        <f t="shared" si="9"/>
        <v>0</v>
      </c>
    </row>
    <row r="210" spans="1:10" ht="19.5">
      <c r="A210" s="186"/>
      <c r="B210" s="98" t="s">
        <v>20</v>
      </c>
      <c r="C210" s="53" t="s">
        <v>21</v>
      </c>
      <c r="D210" s="130">
        <f>D200/6</f>
        <v>7.9166666666666677E-2</v>
      </c>
      <c r="E210" s="377">
        <v>65000</v>
      </c>
      <c r="F210" s="368">
        <f t="shared" si="11"/>
        <v>5145.8333333333339</v>
      </c>
      <c r="G210" s="400">
        <v>20000</v>
      </c>
      <c r="H210" s="400">
        <f t="shared" si="10"/>
        <v>1583.3333333333335</v>
      </c>
      <c r="I210" s="400">
        <v>80000</v>
      </c>
      <c r="J210" s="400">
        <f t="shared" si="9"/>
        <v>6333.3333333333339</v>
      </c>
    </row>
    <row r="211" spans="1:10" ht="19.5">
      <c r="A211" s="186"/>
      <c r="B211" s="98" t="s">
        <v>22</v>
      </c>
      <c r="C211" s="53" t="s">
        <v>21</v>
      </c>
      <c r="D211" s="130">
        <f>D200/6</f>
        <v>7.9166666666666677E-2</v>
      </c>
      <c r="E211" s="377">
        <v>65000</v>
      </c>
      <c r="F211" s="368">
        <f t="shared" si="11"/>
        <v>5145.8333333333339</v>
      </c>
      <c r="G211" s="400">
        <v>20000</v>
      </c>
      <c r="H211" s="400">
        <f t="shared" si="10"/>
        <v>1583.3333333333335</v>
      </c>
      <c r="I211" s="400">
        <v>40000</v>
      </c>
      <c r="J211" s="400">
        <f t="shared" si="9"/>
        <v>3166.666666666667</v>
      </c>
    </row>
    <row r="212" spans="1:10" ht="19.5">
      <c r="A212" s="187"/>
      <c r="B212" s="97" t="s">
        <v>23</v>
      </c>
      <c r="C212" s="54"/>
      <c r="D212" s="119"/>
      <c r="E212" s="384"/>
      <c r="F212" s="368">
        <f t="shared" si="11"/>
        <v>0</v>
      </c>
      <c r="G212" s="400"/>
      <c r="H212" s="400">
        <f t="shared" si="10"/>
        <v>0</v>
      </c>
      <c r="I212" s="400"/>
      <c r="J212" s="400">
        <f t="shared" si="9"/>
        <v>0</v>
      </c>
    </row>
    <row r="213" spans="1:10" ht="19.5">
      <c r="A213" s="187"/>
      <c r="B213" s="97"/>
      <c r="C213" s="54"/>
      <c r="D213" s="119"/>
      <c r="E213" s="384"/>
      <c r="F213" s="368">
        <f t="shared" si="11"/>
        <v>0</v>
      </c>
      <c r="G213" s="400"/>
      <c r="H213" s="400">
        <f t="shared" si="10"/>
        <v>0</v>
      </c>
      <c r="I213" s="400"/>
      <c r="J213" s="400">
        <f t="shared" si="9"/>
        <v>0</v>
      </c>
    </row>
    <row r="214" spans="1:10" ht="19.5">
      <c r="A214" s="217"/>
      <c r="B214" s="161" t="s">
        <v>33</v>
      </c>
      <c r="C214" s="162"/>
      <c r="D214" s="232"/>
      <c r="E214" s="379"/>
      <c r="F214" s="368">
        <f t="shared" si="11"/>
        <v>0</v>
      </c>
      <c r="G214" s="400"/>
      <c r="H214" s="400">
        <f t="shared" si="10"/>
        <v>0</v>
      </c>
      <c r="I214" s="400"/>
      <c r="J214" s="400">
        <f t="shared" si="9"/>
        <v>0</v>
      </c>
    </row>
    <row r="215" spans="1:10" ht="19.5">
      <c r="A215" s="217"/>
      <c r="B215" s="164" t="s">
        <v>34</v>
      </c>
      <c r="C215" s="162" t="s">
        <v>21</v>
      </c>
      <c r="D215" s="232">
        <f>D200/1.64</f>
        <v>0.28963414634146345</v>
      </c>
      <c r="E215" s="379">
        <v>11000</v>
      </c>
      <c r="F215" s="368">
        <f t="shared" si="11"/>
        <v>3185.975609756098</v>
      </c>
      <c r="G215" s="400">
        <v>10000</v>
      </c>
      <c r="H215" s="400">
        <f t="shared" si="10"/>
        <v>2896.3414634146343</v>
      </c>
      <c r="I215" s="400">
        <v>56676</v>
      </c>
      <c r="J215" s="400">
        <f t="shared" si="9"/>
        <v>16415.304878048781</v>
      </c>
    </row>
    <row r="216" spans="1:10" ht="19.5">
      <c r="A216" s="217"/>
      <c r="B216" s="164" t="s">
        <v>7</v>
      </c>
      <c r="C216" s="162" t="s">
        <v>21</v>
      </c>
      <c r="D216" s="232">
        <f>+D215*2</f>
        <v>0.5792682926829269</v>
      </c>
      <c r="E216" s="379">
        <v>9500</v>
      </c>
      <c r="F216" s="368">
        <f t="shared" si="11"/>
        <v>5503.0487804878057</v>
      </c>
      <c r="G216" s="400">
        <v>5000</v>
      </c>
      <c r="H216" s="400">
        <f t="shared" si="10"/>
        <v>2896.3414634146343</v>
      </c>
      <c r="I216" s="400">
        <v>75000</v>
      </c>
      <c r="J216" s="400">
        <f t="shared" si="9"/>
        <v>43445.121951219517</v>
      </c>
    </row>
    <row r="217" spans="1:10" s="60" customFormat="1" ht="19.5">
      <c r="A217" s="169"/>
      <c r="B217" s="161" t="s">
        <v>119</v>
      </c>
      <c r="C217" s="167"/>
      <c r="D217" s="233"/>
      <c r="E217" s="385"/>
      <c r="F217" s="368">
        <f t="shared" si="11"/>
        <v>0</v>
      </c>
      <c r="G217" s="407"/>
      <c r="H217" s="400">
        <f t="shared" si="10"/>
        <v>0</v>
      </c>
      <c r="I217" s="407"/>
      <c r="J217" s="400">
        <f t="shared" si="9"/>
        <v>0</v>
      </c>
    </row>
    <row r="218" spans="1:10" ht="19.5">
      <c r="A218" s="217"/>
      <c r="B218" s="164"/>
      <c r="C218" s="162"/>
      <c r="D218" s="232"/>
      <c r="E218" s="379"/>
      <c r="F218" s="368">
        <f t="shared" si="11"/>
        <v>0</v>
      </c>
      <c r="G218" s="400"/>
      <c r="H218" s="400">
        <f t="shared" si="10"/>
        <v>0</v>
      </c>
      <c r="I218" s="400"/>
      <c r="J218" s="400">
        <f t="shared" si="9"/>
        <v>0</v>
      </c>
    </row>
    <row r="219" spans="1:10" s="60" customFormat="1" ht="19.5">
      <c r="A219" s="169">
        <v>11</v>
      </c>
      <c r="B219" s="468" t="s">
        <v>76</v>
      </c>
      <c r="C219" s="468"/>
      <c r="D219" s="468"/>
      <c r="E219" s="372"/>
      <c r="F219" s="368">
        <f t="shared" si="11"/>
        <v>0</v>
      </c>
      <c r="G219" s="407"/>
      <c r="H219" s="400">
        <f t="shared" si="10"/>
        <v>0</v>
      </c>
      <c r="I219" s="407"/>
      <c r="J219" s="400">
        <f t="shared" si="9"/>
        <v>0</v>
      </c>
    </row>
    <row r="220" spans="1:10" ht="19.5">
      <c r="A220" s="179">
        <v>11.01</v>
      </c>
      <c r="B220" s="95" t="s">
        <v>75</v>
      </c>
      <c r="C220" s="39" t="s">
        <v>36</v>
      </c>
      <c r="D220" s="112">
        <v>72</v>
      </c>
      <c r="E220" s="380">
        <v>10809.212969564313</v>
      </c>
      <c r="F220" s="367">
        <f t="shared" si="11"/>
        <v>778263.33380863047</v>
      </c>
      <c r="G220" s="403"/>
      <c r="H220" s="367">
        <f>SUBTOTAL(9,H221:H238)</f>
        <v>550340.50231394626</v>
      </c>
      <c r="I220" s="403">
        <v>13750.248923076924</v>
      </c>
      <c r="J220" s="403">
        <f t="shared" si="9"/>
        <v>990017.92246153858</v>
      </c>
    </row>
    <row r="221" spans="1:10" ht="19.5">
      <c r="A221" s="183"/>
      <c r="B221" s="18"/>
      <c r="C221" s="19"/>
      <c r="D221" s="130">
        <f>D220*0.05</f>
        <v>3.6</v>
      </c>
      <c r="E221" s="373"/>
      <c r="F221" s="368">
        <f t="shared" si="11"/>
        <v>0</v>
      </c>
      <c r="G221" s="400"/>
      <c r="H221" s="400">
        <f t="shared" si="10"/>
        <v>0</v>
      </c>
      <c r="I221" s="400">
        <v>200000</v>
      </c>
      <c r="J221" s="400">
        <f t="shared" si="9"/>
        <v>720000</v>
      </c>
    </row>
    <row r="222" spans="1:10" ht="19.5">
      <c r="A222" s="184"/>
      <c r="B222" s="93" t="s">
        <v>2</v>
      </c>
      <c r="C222" s="22"/>
      <c r="D222" s="113"/>
      <c r="E222" s="374"/>
      <c r="F222" s="368">
        <f t="shared" si="11"/>
        <v>0</v>
      </c>
      <c r="G222" s="400"/>
      <c r="H222" s="400">
        <f t="shared" si="10"/>
        <v>0</v>
      </c>
      <c r="I222" s="400"/>
      <c r="J222" s="400">
        <f t="shared" si="9"/>
        <v>0</v>
      </c>
    </row>
    <row r="223" spans="1:10" ht="19.5">
      <c r="A223" s="181"/>
      <c r="B223" s="12" t="s">
        <v>30</v>
      </c>
      <c r="C223" s="8" t="s">
        <v>28</v>
      </c>
      <c r="D223" s="128">
        <f>D220*0.1*1.5</f>
        <v>10.8</v>
      </c>
      <c r="E223" s="368">
        <v>25500</v>
      </c>
      <c r="F223" s="368">
        <f t="shared" si="11"/>
        <v>275400</v>
      </c>
      <c r="G223" s="400">
        <v>15000</v>
      </c>
      <c r="H223" s="400">
        <f t="shared" si="10"/>
        <v>162000</v>
      </c>
      <c r="I223" s="400">
        <v>25000</v>
      </c>
      <c r="J223" s="400">
        <f t="shared" si="9"/>
        <v>270000</v>
      </c>
    </row>
    <row r="224" spans="1:10" ht="19.5">
      <c r="A224" s="184"/>
      <c r="B224" s="94" t="s">
        <v>11</v>
      </c>
      <c r="C224" s="22" t="s">
        <v>12</v>
      </c>
      <c r="D224" s="128">
        <f>D221*(1/13)*1.57*(1440/50)</f>
        <v>12.521353846153847</v>
      </c>
      <c r="E224" s="374">
        <v>11200</v>
      </c>
      <c r="F224" s="368">
        <f t="shared" si="11"/>
        <v>140239.16307692308</v>
      </c>
      <c r="G224" s="400">
        <v>14000</v>
      </c>
      <c r="H224" s="400">
        <f t="shared" si="10"/>
        <v>175298.95384615386</v>
      </c>
      <c r="I224" s="400">
        <v>13500</v>
      </c>
      <c r="J224" s="400">
        <f t="shared" si="9"/>
        <v>169038.27692307695</v>
      </c>
    </row>
    <row r="225" spans="1:10" ht="19.5">
      <c r="A225" s="184"/>
      <c r="B225" s="94" t="s">
        <v>13</v>
      </c>
      <c r="C225" s="22" t="s">
        <v>10</v>
      </c>
      <c r="D225" s="128">
        <f>D221*(4/13)*1.57</f>
        <v>1.7390769230769232</v>
      </c>
      <c r="E225" s="374">
        <v>36500</v>
      </c>
      <c r="F225" s="368">
        <f t="shared" si="11"/>
        <v>63476.307692307695</v>
      </c>
      <c r="G225" s="400">
        <v>25000</v>
      </c>
      <c r="H225" s="400">
        <f t="shared" si="10"/>
        <v>43476.923076923078</v>
      </c>
      <c r="I225" s="400">
        <v>40000</v>
      </c>
      <c r="J225" s="400">
        <f t="shared" si="9"/>
        <v>69563.076923076922</v>
      </c>
    </row>
    <row r="226" spans="1:10" ht="19.5">
      <c r="A226" s="184"/>
      <c r="B226" s="94" t="s">
        <v>14</v>
      </c>
      <c r="C226" s="22" t="s">
        <v>10</v>
      </c>
      <c r="D226" s="128">
        <f>D221*(8/13)*1.57</f>
        <v>3.4781538461538464</v>
      </c>
      <c r="E226" s="374">
        <v>43500</v>
      </c>
      <c r="F226" s="368">
        <f t="shared" si="11"/>
        <v>151299.69230769231</v>
      </c>
      <c r="G226" s="400">
        <v>27000</v>
      </c>
      <c r="H226" s="400">
        <f t="shared" si="10"/>
        <v>93910.153846153858</v>
      </c>
      <c r="I226" s="400">
        <v>48312</v>
      </c>
      <c r="J226" s="400">
        <f t="shared" si="9"/>
        <v>168036.56861538463</v>
      </c>
    </row>
    <row r="227" spans="1:10" ht="19.5">
      <c r="A227" s="153"/>
      <c r="B227" s="93" t="s">
        <v>125</v>
      </c>
      <c r="C227" s="27"/>
      <c r="D227" s="116"/>
      <c r="E227" s="381"/>
      <c r="F227" s="368">
        <f t="shared" si="11"/>
        <v>0</v>
      </c>
      <c r="G227" s="400"/>
      <c r="H227" s="400">
        <f t="shared" si="10"/>
        <v>0</v>
      </c>
      <c r="I227" s="400"/>
      <c r="J227" s="400">
        <f t="shared" si="9"/>
        <v>0</v>
      </c>
    </row>
    <row r="228" spans="1:10" ht="19.5">
      <c r="A228" s="153"/>
      <c r="B228" s="93"/>
      <c r="C228" s="27"/>
      <c r="D228" s="116"/>
      <c r="E228" s="381"/>
      <c r="F228" s="368">
        <f t="shared" si="11"/>
        <v>0</v>
      </c>
      <c r="G228" s="400"/>
      <c r="H228" s="400">
        <f t="shared" si="10"/>
        <v>0</v>
      </c>
      <c r="I228" s="400"/>
      <c r="J228" s="400">
        <f t="shared" si="9"/>
        <v>0</v>
      </c>
    </row>
    <row r="229" spans="1:10" ht="19.5">
      <c r="A229" s="186"/>
      <c r="B229" s="97" t="s">
        <v>19</v>
      </c>
      <c r="C229" s="53"/>
      <c r="D229" s="130"/>
      <c r="E229" s="377"/>
      <c r="F229" s="368">
        <f t="shared" si="11"/>
        <v>0</v>
      </c>
      <c r="G229" s="400"/>
      <c r="H229" s="400">
        <f t="shared" si="10"/>
        <v>0</v>
      </c>
      <c r="I229" s="400"/>
      <c r="J229" s="400">
        <f t="shared" si="9"/>
        <v>0</v>
      </c>
    </row>
    <row r="230" spans="1:10" ht="19.5">
      <c r="A230" s="186"/>
      <c r="B230" s="98" t="s">
        <v>20</v>
      </c>
      <c r="C230" s="53" t="s">
        <v>21</v>
      </c>
      <c r="D230" s="130">
        <f>D216/6</f>
        <v>9.6544715447154483E-2</v>
      </c>
      <c r="E230" s="377">
        <v>8500</v>
      </c>
      <c r="F230" s="368">
        <f t="shared" si="11"/>
        <v>820.63008130081312</v>
      </c>
      <c r="G230" s="400">
        <v>50000</v>
      </c>
      <c r="H230" s="400">
        <f t="shared" si="10"/>
        <v>4827.2357723577243</v>
      </c>
      <c r="I230" s="400">
        <v>80000</v>
      </c>
      <c r="J230" s="400">
        <f t="shared" si="9"/>
        <v>7723.577235772359</v>
      </c>
    </row>
    <row r="231" spans="1:10" ht="19.5">
      <c r="A231" s="186"/>
      <c r="B231" s="98" t="s">
        <v>22</v>
      </c>
      <c r="C231" s="53" t="s">
        <v>21</v>
      </c>
      <c r="D231" s="130">
        <f>D216/6</f>
        <v>9.6544715447154483E-2</v>
      </c>
      <c r="E231" s="377">
        <v>6500</v>
      </c>
      <c r="F231" s="368">
        <f t="shared" si="11"/>
        <v>627.54065040650414</v>
      </c>
      <c r="G231" s="400">
        <v>50000</v>
      </c>
      <c r="H231" s="400">
        <f t="shared" si="10"/>
        <v>4827.2357723577243</v>
      </c>
      <c r="I231" s="400">
        <v>40000</v>
      </c>
      <c r="J231" s="400">
        <f t="shared" si="9"/>
        <v>3861.7886178861795</v>
      </c>
    </row>
    <row r="232" spans="1:10" ht="19.5">
      <c r="A232" s="187"/>
      <c r="B232" s="97" t="s">
        <v>112</v>
      </c>
      <c r="C232" s="54"/>
      <c r="D232" s="119"/>
      <c r="E232" s="384"/>
      <c r="F232" s="368">
        <f t="shared" si="11"/>
        <v>0</v>
      </c>
      <c r="G232" s="400"/>
      <c r="H232" s="400">
        <f t="shared" si="10"/>
        <v>0</v>
      </c>
      <c r="I232" s="400"/>
      <c r="J232" s="400">
        <f t="shared" si="9"/>
        <v>0</v>
      </c>
    </row>
    <row r="233" spans="1:10" ht="19.5">
      <c r="A233" s="184"/>
      <c r="B233" s="94"/>
      <c r="C233" s="22"/>
      <c r="D233" s="113"/>
      <c r="E233" s="374"/>
      <c r="F233" s="368">
        <f t="shared" si="11"/>
        <v>0</v>
      </c>
      <c r="G233" s="400"/>
      <c r="H233" s="400">
        <f t="shared" si="10"/>
        <v>0</v>
      </c>
      <c r="I233" s="400"/>
      <c r="J233" s="400">
        <f t="shared" si="9"/>
        <v>0</v>
      </c>
    </row>
    <row r="234" spans="1:10" ht="19.5">
      <c r="A234" s="184"/>
      <c r="B234" s="93" t="s">
        <v>6</v>
      </c>
      <c r="C234" s="22"/>
      <c r="D234" s="113"/>
      <c r="E234" s="374"/>
      <c r="F234" s="368">
        <f t="shared" si="11"/>
        <v>0</v>
      </c>
      <c r="G234" s="400"/>
      <c r="H234" s="400">
        <f t="shared" si="10"/>
        <v>0</v>
      </c>
      <c r="I234" s="400"/>
      <c r="J234" s="400">
        <f t="shared" si="9"/>
        <v>0</v>
      </c>
    </row>
    <row r="235" spans="1:10" ht="19.5">
      <c r="A235" s="184"/>
      <c r="B235" s="94" t="s">
        <v>24</v>
      </c>
      <c r="C235" s="22" t="s">
        <v>21</v>
      </c>
      <c r="D235" s="113">
        <f>(D221/6)*2</f>
        <v>1.2</v>
      </c>
      <c r="E235" s="374">
        <v>18500</v>
      </c>
      <c r="F235" s="368">
        <f t="shared" si="11"/>
        <v>22200</v>
      </c>
      <c r="G235" s="400">
        <v>10000</v>
      </c>
      <c r="H235" s="400">
        <f t="shared" si="10"/>
        <v>12000</v>
      </c>
      <c r="I235" s="400">
        <v>80150</v>
      </c>
      <c r="J235" s="400">
        <f t="shared" si="9"/>
        <v>96180</v>
      </c>
    </row>
    <row r="236" spans="1:10" ht="19.5">
      <c r="A236" s="184"/>
      <c r="B236" s="94" t="s">
        <v>25</v>
      </c>
      <c r="C236" s="22" t="s">
        <v>21</v>
      </c>
      <c r="D236" s="113">
        <f>(D221/6)*18</f>
        <v>10.799999999999999</v>
      </c>
      <c r="E236" s="374">
        <v>11500</v>
      </c>
      <c r="F236" s="368">
        <f t="shared" si="11"/>
        <v>124199.99999999999</v>
      </c>
      <c r="G236" s="400">
        <v>5000</v>
      </c>
      <c r="H236" s="400">
        <f t="shared" si="10"/>
        <v>53999.999999999993</v>
      </c>
      <c r="I236" s="400">
        <v>19000</v>
      </c>
      <c r="J236" s="400">
        <f t="shared" si="9"/>
        <v>205199.99999999997</v>
      </c>
    </row>
    <row r="237" spans="1:10" ht="19.5">
      <c r="A237" s="153"/>
      <c r="B237" s="93" t="s">
        <v>113</v>
      </c>
      <c r="C237" s="27"/>
      <c r="D237" s="116"/>
      <c r="E237" s="381"/>
      <c r="F237" s="368">
        <f t="shared" si="11"/>
        <v>0</v>
      </c>
      <c r="G237" s="400"/>
      <c r="H237" s="400">
        <f t="shared" si="10"/>
        <v>0</v>
      </c>
      <c r="I237" s="400"/>
      <c r="J237" s="400">
        <f t="shared" si="9"/>
        <v>0</v>
      </c>
    </row>
    <row r="238" spans="1:10" ht="19.5">
      <c r="A238" s="184"/>
      <c r="B238" s="94"/>
      <c r="C238" s="22"/>
      <c r="D238" s="113"/>
      <c r="E238" s="374"/>
      <c r="F238" s="368">
        <f t="shared" si="11"/>
        <v>0</v>
      </c>
      <c r="G238" s="400"/>
      <c r="H238" s="400">
        <f t="shared" si="10"/>
        <v>0</v>
      </c>
      <c r="I238" s="400"/>
      <c r="J238" s="400">
        <f t="shared" si="9"/>
        <v>0</v>
      </c>
    </row>
    <row r="239" spans="1:10" ht="19.5">
      <c r="A239" s="179">
        <v>12.01</v>
      </c>
      <c r="B239" s="2" t="s">
        <v>46</v>
      </c>
      <c r="C239" s="62" t="s">
        <v>47</v>
      </c>
      <c r="D239" s="193">
        <v>72</v>
      </c>
      <c r="E239" s="367">
        <v>6241.9761333333336</v>
      </c>
      <c r="F239" s="367">
        <f t="shared" si="11"/>
        <v>449422.28159999999</v>
      </c>
      <c r="G239" s="403"/>
      <c r="H239" s="367">
        <f>SUBTOTAL(9,H240:H249)</f>
        <v>402356.35200000001</v>
      </c>
      <c r="I239" s="403">
        <v>5343.760666666667</v>
      </c>
      <c r="J239" s="403">
        <f t="shared" si="9"/>
        <v>384750.76800000004</v>
      </c>
    </row>
    <row r="240" spans="1:10" ht="19.5">
      <c r="A240" s="181"/>
      <c r="B240" s="57" t="s">
        <v>2</v>
      </c>
      <c r="C240" s="42"/>
      <c r="D240" s="132"/>
      <c r="E240" s="368"/>
      <c r="F240" s="368">
        <f t="shared" si="11"/>
        <v>0</v>
      </c>
      <c r="G240" s="400"/>
      <c r="H240" s="400">
        <f t="shared" si="10"/>
        <v>0</v>
      </c>
      <c r="I240" s="400"/>
      <c r="J240" s="400">
        <f t="shared" si="9"/>
        <v>0</v>
      </c>
    </row>
    <row r="241" spans="1:10" ht="19.5">
      <c r="A241" s="181"/>
      <c r="B241" s="46" t="s">
        <v>11</v>
      </c>
      <c r="C241" s="42" t="s">
        <v>12</v>
      </c>
      <c r="D241" s="132">
        <f>D239*(1/6)*0.032*(1440/50)*1.54</f>
        <v>17.031168000000001</v>
      </c>
      <c r="E241" s="368">
        <v>11200</v>
      </c>
      <c r="F241" s="368">
        <f t="shared" si="11"/>
        <v>190749.0816</v>
      </c>
      <c r="G241" s="400">
        <v>14000</v>
      </c>
      <c r="H241" s="400">
        <f t="shared" si="10"/>
        <v>238436.35200000001</v>
      </c>
      <c r="I241" s="400">
        <v>13500</v>
      </c>
      <c r="J241" s="400">
        <f t="shared" si="9"/>
        <v>229920.76800000001</v>
      </c>
    </row>
    <row r="242" spans="1:10" ht="19.5">
      <c r="A242" s="181"/>
      <c r="B242" s="46" t="s">
        <v>13</v>
      </c>
      <c r="C242" s="42" t="s">
        <v>10</v>
      </c>
      <c r="D242" s="132">
        <f>D239*(5/6)*0.032*1.54</f>
        <v>2.9567999999999999</v>
      </c>
      <c r="E242" s="368">
        <v>36500</v>
      </c>
      <c r="F242" s="368">
        <f t="shared" si="11"/>
        <v>107923.2</v>
      </c>
      <c r="G242" s="400">
        <v>25000</v>
      </c>
      <c r="H242" s="400">
        <f t="shared" si="10"/>
        <v>73920</v>
      </c>
      <c r="I242" s="400">
        <v>40000</v>
      </c>
      <c r="J242" s="400">
        <f t="shared" si="9"/>
        <v>118272</v>
      </c>
    </row>
    <row r="243" spans="1:10" ht="19.5">
      <c r="A243" s="153"/>
      <c r="B243" s="93" t="s">
        <v>5</v>
      </c>
      <c r="C243" s="27"/>
      <c r="D243" s="116"/>
      <c r="E243" s="381"/>
      <c r="F243" s="368">
        <f t="shared" si="11"/>
        <v>0</v>
      </c>
      <c r="G243" s="400"/>
      <c r="H243" s="400">
        <f t="shared" si="10"/>
        <v>0</v>
      </c>
      <c r="I243" s="400"/>
      <c r="J243" s="400">
        <f t="shared" si="9"/>
        <v>0</v>
      </c>
    </row>
    <row r="244" spans="1:10" ht="19.5">
      <c r="A244" s="184"/>
      <c r="B244" s="94"/>
      <c r="C244" s="22"/>
      <c r="D244" s="113"/>
      <c r="E244" s="374"/>
      <c r="F244" s="368">
        <f t="shared" si="11"/>
        <v>0</v>
      </c>
      <c r="G244" s="400"/>
      <c r="H244" s="400">
        <f t="shared" si="10"/>
        <v>0</v>
      </c>
      <c r="I244" s="400"/>
      <c r="J244" s="400">
        <f t="shared" si="9"/>
        <v>0</v>
      </c>
    </row>
    <row r="245" spans="1:10" ht="19.5">
      <c r="A245" s="184"/>
      <c r="B245" s="93" t="s">
        <v>6</v>
      </c>
      <c r="C245" s="22"/>
      <c r="D245" s="113"/>
      <c r="E245" s="374"/>
      <c r="F245" s="368">
        <f t="shared" si="11"/>
        <v>0</v>
      </c>
      <c r="G245" s="400"/>
      <c r="H245" s="400">
        <f t="shared" si="10"/>
        <v>0</v>
      </c>
      <c r="I245" s="400"/>
      <c r="J245" s="400">
        <f t="shared" si="9"/>
        <v>0</v>
      </c>
    </row>
    <row r="246" spans="1:10" ht="19.5">
      <c r="A246" s="184"/>
      <c r="B246" s="94" t="s">
        <v>34</v>
      </c>
      <c r="C246" s="22" t="s">
        <v>8</v>
      </c>
      <c r="D246" s="113">
        <f>D239/16</f>
        <v>4.5</v>
      </c>
      <c r="E246" s="374">
        <v>14500</v>
      </c>
      <c r="F246" s="368">
        <f t="shared" si="11"/>
        <v>65250</v>
      </c>
      <c r="G246" s="400">
        <v>10000</v>
      </c>
      <c r="H246" s="400">
        <f t="shared" si="10"/>
        <v>45000</v>
      </c>
      <c r="I246" s="400">
        <v>5908</v>
      </c>
      <c r="J246" s="400">
        <f t="shared" si="9"/>
        <v>26586</v>
      </c>
    </row>
    <row r="247" spans="1:10" ht="19.5">
      <c r="A247" s="184"/>
      <c r="B247" s="94" t="s">
        <v>7</v>
      </c>
      <c r="C247" s="22" t="s">
        <v>8</v>
      </c>
      <c r="D247" s="113">
        <f>D246*2</f>
        <v>9</v>
      </c>
      <c r="E247" s="374">
        <v>9500</v>
      </c>
      <c r="F247" s="368">
        <f t="shared" si="11"/>
        <v>85500</v>
      </c>
      <c r="G247" s="400">
        <v>5000</v>
      </c>
      <c r="H247" s="400">
        <f t="shared" si="10"/>
        <v>45000</v>
      </c>
      <c r="I247" s="400">
        <v>1108</v>
      </c>
      <c r="J247" s="400">
        <f t="shared" si="9"/>
        <v>9972</v>
      </c>
    </row>
    <row r="248" spans="1:10" ht="19.5">
      <c r="A248" s="153"/>
      <c r="B248" s="93" t="s">
        <v>9</v>
      </c>
      <c r="C248" s="27"/>
      <c r="D248" s="116"/>
      <c r="E248" s="381"/>
      <c r="F248" s="368">
        <f t="shared" si="11"/>
        <v>0</v>
      </c>
      <c r="G248" s="400"/>
      <c r="H248" s="400">
        <f t="shared" si="10"/>
        <v>0</v>
      </c>
      <c r="I248" s="400"/>
      <c r="J248" s="400">
        <f t="shared" si="9"/>
        <v>0</v>
      </c>
    </row>
    <row r="249" spans="1:10" ht="19.5">
      <c r="A249" s="153"/>
      <c r="B249" s="93"/>
      <c r="C249" s="27"/>
      <c r="D249" s="116"/>
      <c r="E249" s="381"/>
      <c r="F249" s="368">
        <f t="shared" si="11"/>
        <v>0</v>
      </c>
      <c r="G249" s="400"/>
      <c r="H249" s="400">
        <f t="shared" si="10"/>
        <v>0</v>
      </c>
      <c r="I249" s="400"/>
      <c r="J249" s="400">
        <f t="shared" si="9"/>
        <v>0</v>
      </c>
    </row>
    <row r="250" spans="1:10" s="86" customFormat="1" ht="19.5">
      <c r="A250" s="153">
        <v>13</v>
      </c>
      <c r="B250" s="475" t="s">
        <v>48</v>
      </c>
      <c r="C250" s="475"/>
      <c r="D250" s="475"/>
      <c r="E250" s="376"/>
      <c r="F250" s="368">
        <f t="shared" si="11"/>
        <v>0</v>
      </c>
      <c r="G250" s="409"/>
      <c r="H250" s="400">
        <f t="shared" si="10"/>
        <v>0</v>
      </c>
      <c r="I250" s="409"/>
      <c r="J250" s="400">
        <f t="shared" si="9"/>
        <v>0</v>
      </c>
    </row>
    <row r="251" spans="1:10" ht="19.5">
      <c r="A251" s="185">
        <v>13.01</v>
      </c>
      <c r="B251" s="15" t="s">
        <v>49</v>
      </c>
      <c r="C251" s="34" t="s">
        <v>50</v>
      </c>
      <c r="D251" s="120">
        <f>(34*3)-(3.78+1.5)</f>
        <v>96.72</v>
      </c>
      <c r="E251" s="367">
        <v>3314.7471999999998</v>
      </c>
      <c r="F251" s="367">
        <f t="shared" si="11"/>
        <v>320602.34918399999</v>
      </c>
      <c r="G251" s="403"/>
      <c r="H251" s="367">
        <f>SUBTOTAL(9,H252:H261)</f>
        <v>515013.10848</v>
      </c>
      <c r="I251" s="403">
        <v>5999.9160000000002</v>
      </c>
      <c r="J251" s="403">
        <f t="shared" si="9"/>
        <v>580311.87552</v>
      </c>
    </row>
    <row r="252" spans="1:10" ht="19.5">
      <c r="A252" s="184"/>
      <c r="B252" s="57" t="s">
        <v>51</v>
      </c>
      <c r="C252" s="42"/>
      <c r="D252" s="128"/>
      <c r="E252" s="368"/>
      <c r="F252" s="368">
        <f t="shared" si="11"/>
        <v>0</v>
      </c>
      <c r="G252" s="400"/>
      <c r="H252" s="400">
        <f t="shared" si="10"/>
        <v>0</v>
      </c>
      <c r="I252" s="400"/>
      <c r="J252" s="400">
        <f t="shared" si="9"/>
        <v>0</v>
      </c>
    </row>
    <row r="253" spans="1:10" ht="19.5">
      <c r="A253" s="183"/>
      <c r="B253" s="46" t="s">
        <v>52</v>
      </c>
      <c r="C253" s="42" t="s">
        <v>12</v>
      </c>
      <c r="D253" s="113">
        <f>D251*0.015*(1/5)*1.54*(1440/50)</f>
        <v>12.869176319999999</v>
      </c>
      <c r="E253" s="368">
        <v>11200</v>
      </c>
      <c r="F253" s="368">
        <f t="shared" si="11"/>
        <v>144134.77478399998</v>
      </c>
      <c r="G253" s="400">
        <v>14000</v>
      </c>
      <c r="H253" s="400">
        <f t="shared" si="10"/>
        <v>180168.46847999998</v>
      </c>
      <c r="I253" s="400">
        <v>11000</v>
      </c>
      <c r="J253" s="400">
        <f t="shared" si="9"/>
        <v>141560.93951999999</v>
      </c>
    </row>
    <row r="254" spans="1:10" ht="19.5">
      <c r="A254" s="218"/>
      <c r="B254" s="46" t="s">
        <v>13</v>
      </c>
      <c r="C254" s="42" t="s">
        <v>28</v>
      </c>
      <c r="D254" s="113">
        <f>D251*0.015*1.54*(4/5)</f>
        <v>1.7873856000000001</v>
      </c>
      <c r="E254" s="368">
        <v>36500</v>
      </c>
      <c r="F254" s="368">
        <f t="shared" si="11"/>
        <v>65239.574400000005</v>
      </c>
      <c r="G254" s="400">
        <v>25000</v>
      </c>
      <c r="H254" s="400">
        <f t="shared" si="10"/>
        <v>44684.640000000007</v>
      </c>
      <c r="I254" s="400">
        <v>40000</v>
      </c>
      <c r="J254" s="400">
        <f t="shared" si="9"/>
        <v>71495.423999999999</v>
      </c>
    </row>
    <row r="255" spans="1:10" ht="19.5">
      <c r="A255" s="173"/>
      <c r="B255" s="57" t="s">
        <v>5</v>
      </c>
      <c r="C255" s="58"/>
      <c r="D255" s="116"/>
      <c r="E255" s="378"/>
      <c r="F255" s="368">
        <f t="shared" si="11"/>
        <v>0</v>
      </c>
      <c r="G255" s="400"/>
      <c r="H255" s="400">
        <f t="shared" si="10"/>
        <v>0</v>
      </c>
      <c r="I255" s="400"/>
      <c r="J255" s="400">
        <f t="shared" si="9"/>
        <v>0</v>
      </c>
    </row>
    <row r="256" spans="1:10" ht="19.5">
      <c r="A256" s="218"/>
      <c r="B256" s="46"/>
      <c r="C256" s="42"/>
      <c r="D256" s="113"/>
      <c r="E256" s="368"/>
      <c r="F256" s="368">
        <f t="shared" si="11"/>
        <v>0</v>
      </c>
      <c r="G256" s="400"/>
      <c r="H256" s="400">
        <f t="shared" si="10"/>
        <v>0</v>
      </c>
      <c r="I256" s="400"/>
      <c r="J256" s="400">
        <f t="shared" si="9"/>
        <v>0</v>
      </c>
    </row>
    <row r="257" spans="1:10" ht="19.5">
      <c r="A257" s="218"/>
      <c r="B257" s="57" t="s">
        <v>53</v>
      </c>
      <c r="C257" s="42"/>
      <c r="D257" s="128"/>
      <c r="E257" s="368"/>
      <c r="F257" s="368">
        <f t="shared" si="11"/>
        <v>0</v>
      </c>
      <c r="G257" s="400"/>
      <c r="H257" s="400">
        <f t="shared" si="10"/>
        <v>0</v>
      </c>
      <c r="I257" s="400"/>
      <c r="J257" s="400">
        <f t="shared" si="9"/>
        <v>0</v>
      </c>
    </row>
    <row r="258" spans="1:10" ht="19.5">
      <c r="A258" s="218"/>
      <c r="B258" s="46" t="s">
        <v>34</v>
      </c>
      <c r="C258" s="42" t="s">
        <v>8</v>
      </c>
      <c r="D258" s="113">
        <f>D251/10</f>
        <v>9.6720000000000006</v>
      </c>
      <c r="E258" s="368">
        <v>3500</v>
      </c>
      <c r="F258" s="368">
        <f t="shared" si="11"/>
        <v>33852</v>
      </c>
      <c r="G258" s="400">
        <v>10000</v>
      </c>
      <c r="H258" s="400">
        <f t="shared" si="10"/>
        <v>96720</v>
      </c>
      <c r="I258" s="400">
        <v>25315</v>
      </c>
      <c r="J258" s="400">
        <f t="shared" si="9"/>
        <v>244846.68000000002</v>
      </c>
    </row>
    <row r="259" spans="1:10" ht="19.5">
      <c r="A259" s="218"/>
      <c r="B259" s="46" t="s">
        <v>7</v>
      </c>
      <c r="C259" s="42" t="s">
        <v>8</v>
      </c>
      <c r="D259" s="128">
        <f>D258*4</f>
        <v>38.688000000000002</v>
      </c>
      <c r="E259" s="368">
        <v>2000</v>
      </c>
      <c r="F259" s="368">
        <f t="shared" si="11"/>
        <v>77376</v>
      </c>
      <c r="G259" s="400">
        <v>5000</v>
      </c>
      <c r="H259" s="400">
        <f t="shared" si="10"/>
        <v>193440</v>
      </c>
      <c r="I259" s="400">
        <v>3164</v>
      </c>
      <c r="J259" s="400">
        <f t="shared" si="9"/>
        <v>122408.83200000001</v>
      </c>
    </row>
    <row r="260" spans="1:10" ht="19.5">
      <c r="A260" s="219"/>
      <c r="B260" s="93" t="s">
        <v>54</v>
      </c>
      <c r="C260" s="47"/>
      <c r="D260" s="128"/>
      <c r="E260" s="378"/>
      <c r="F260" s="368">
        <f t="shared" si="11"/>
        <v>0</v>
      </c>
      <c r="G260" s="400"/>
      <c r="H260" s="400">
        <f t="shared" si="10"/>
        <v>0</v>
      </c>
      <c r="I260" s="400"/>
      <c r="J260" s="400">
        <f t="shared" si="9"/>
        <v>0</v>
      </c>
    </row>
    <row r="261" spans="1:10" ht="19.5">
      <c r="A261" s="180"/>
      <c r="B261" s="46"/>
      <c r="C261" s="42"/>
      <c r="D261" s="128"/>
      <c r="E261" s="368"/>
      <c r="F261" s="368">
        <f t="shared" si="11"/>
        <v>0</v>
      </c>
      <c r="G261" s="400"/>
      <c r="H261" s="400">
        <f t="shared" si="10"/>
        <v>0</v>
      </c>
      <c r="I261" s="400"/>
      <c r="J261" s="400">
        <f t="shared" ref="J261:J324" si="12">D261*I261</f>
        <v>0</v>
      </c>
    </row>
    <row r="262" spans="1:10" s="86" customFormat="1" ht="19.5">
      <c r="A262" s="173">
        <v>14</v>
      </c>
      <c r="B262" s="100" t="s">
        <v>55</v>
      </c>
      <c r="C262" s="90"/>
      <c r="D262" s="124"/>
      <c r="E262" s="382"/>
      <c r="F262" s="368">
        <f t="shared" si="11"/>
        <v>0</v>
      </c>
      <c r="G262" s="409"/>
      <c r="H262" s="400">
        <f t="shared" si="10"/>
        <v>0</v>
      </c>
      <c r="I262" s="409"/>
      <c r="J262" s="400">
        <f t="shared" si="12"/>
        <v>0</v>
      </c>
    </row>
    <row r="263" spans="1:10" ht="19.5">
      <c r="A263" s="220">
        <v>14.01</v>
      </c>
      <c r="B263" s="15" t="s">
        <v>49</v>
      </c>
      <c r="C263" s="34" t="s">
        <v>1</v>
      </c>
      <c r="D263" s="120">
        <f>D251</f>
        <v>96.72</v>
      </c>
      <c r="E263" s="367">
        <v>3257.672043010753</v>
      </c>
      <c r="F263" s="367">
        <f t="shared" si="11"/>
        <v>315082.04000000004</v>
      </c>
      <c r="G263" s="403"/>
      <c r="H263" s="367">
        <f>SUBTOTAL(9,H264:H277)</f>
        <v>203861.58</v>
      </c>
      <c r="I263" s="403">
        <v>7000.0337499999996</v>
      </c>
      <c r="J263" s="403">
        <f t="shared" si="12"/>
        <v>677043.26429999992</v>
      </c>
    </row>
    <row r="264" spans="1:10" ht="19.5">
      <c r="A264" s="180"/>
      <c r="B264" s="57" t="s">
        <v>2</v>
      </c>
      <c r="C264" s="42"/>
      <c r="D264" s="128"/>
      <c r="E264" s="368"/>
      <c r="F264" s="368">
        <f t="shared" ref="F264:F327" si="13">D264*E264</f>
        <v>0</v>
      </c>
      <c r="G264" s="400"/>
      <c r="H264" s="400">
        <f t="shared" ref="H263:H326" si="14">D264*G264</f>
        <v>0</v>
      </c>
      <c r="I264" s="400"/>
      <c r="J264" s="400">
        <f t="shared" si="12"/>
        <v>0</v>
      </c>
    </row>
    <row r="265" spans="1:10" ht="19.5">
      <c r="A265" s="221"/>
      <c r="B265" s="46" t="s">
        <v>56</v>
      </c>
      <c r="C265" s="42" t="s">
        <v>57</v>
      </c>
      <c r="D265" s="128">
        <f>D263*0.07*3</f>
        <v>20.311199999999999</v>
      </c>
      <c r="E265" s="368">
        <v>5661.9008231911457</v>
      </c>
      <c r="F265" s="368">
        <f t="shared" si="13"/>
        <v>115000</v>
      </c>
      <c r="G265" s="400">
        <v>3000</v>
      </c>
      <c r="H265" s="400">
        <f t="shared" si="14"/>
        <v>60933.599999999999</v>
      </c>
      <c r="I265" s="400">
        <v>4500</v>
      </c>
      <c r="J265" s="400">
        <f t="shared" si="12"/>
        <v>91400.4</v>
      </c>
    </row>
    <row r="266" spans="1:10" ht="19.5">
      <c r="A266" s="218"/>
      <c r="B266" s="46" t="str">
        <f>'[1]Emulsion Paint'!$B$19</f>
        <v>Induit/undercoat ( 2 coats)</v>
      </c>
      <c r="C266" s="42" t="s">
        <v>57</v>
      </c>
      <c r="D266" s="128">
        <f>D263*0.07*2</f>
        <v>13.540800000000001</v>
      </c>
      <c r="E266" s="368">
        <v>10708.377643861515</v>
      </c>
      <c r="F266" s="368">
        <f t="shared" si="13"/>
        <v>145000</v>
      </c>
      <c r="G266" s="400">
        <v>1000</v>
      </c>
      <c r="H266" s="400">
        <f t="shared" si="14"/>
        <v>13540.800000000001</v>
      </c>
      <c r="I266" s="400">
        <v>1100</v>
      </c>
      <c r="J266" s="400">
        <f t="shared" si="12"/>
        <v>14894.880000000001</v>
      </c>
    </row>
    <row r="267" spans="1:10" ht="19.5">
      <c r="A267" s="218"/>
      <c r="B267" s="46" t="str">
        <f>'[1]Emulsion Paint'!$B$24</f>
        <v>Roller</v>
      </c>
      <c r="C267" s="42" t="s">
        <v>44</v>
      </c>
      <c r="D267" s="113">
        <f>D263/100</f>
        <v>0.96719999999999995</v>
      </c>
      <c r="E267" s="368">
        <v>1100</v>
      </c>
      <c r="F267" s="368">
        <f t="shared" si="13"/>
        <v>1063.9199999999998</v>
      </c>
      <c r="G267" s="400">
        <v>1200</v>
      </c>
      <c r="H267" s="400">
        <f t="shared" si="14"/>
        <v>1160.6399999999999</v>
      </c>
      <c r="I267" s="400">
        <v>2200</v>
      </c>
      <c r="J267" s="400">
        <f t="shared" si="12"/>
        <v>2127.8399999999997</v>
      </c>
    </row>
    <row r="268" spans="1:10" ht="19.5">
      <c r="A268" s="218"/>
      <c r="B268" s="46" t="str">
        <f>'[1]Emulsion Paint'!$B$23</f>
        <v>Brush</v>
      </c>
      <c r="C268" s="42" t="s">
        <v>44</v>
      </c>
      <c r="D268" s="113">
        <f>D263/100</f>
        <v>0.96719999999999995</v>
      </c>
      <c r="E268" s="368">
        <v>1100</v>
      </c>
      <c r="F268" s="368">
        <f t="shared" si="13"/>
        <v>1063.9199999999998</v>
      </c>
      <c r="G268" s="400">
        <v>1200</v>
      </c>
      <c r="H268" s="400">
        <f t="shared" si="14"/>
        <v>1160.6399999999999</v>
      </c>
      <c r="I268" s="400">
        <v>600</v>
      </c>
      <c r="J268" s="400">
        <f t="shared" si="12"/>
        <v>580.31999999999994</v>
      </c>
    </row>
    <row r="269" spans="1:10" ht="19.5">
      <c r="A269" s="218"/>
      <c r="B269" s="46" t="s">
        <v>58</v>
      </c>
      <c r="C269" s="42" t="s">
        <v>59</v>
      </c>
      <c r="D269" s="113">
        <f>D263/100</f>
        <v>0.96719999999999995</v>
      </c>
      <c r="E269" s="368">
        <v>3500</v>
      </c>
      <c r="F269" s="368">
        <f t="shared" si="13"/>
        <v>3385.2</v>
      </c>
      <c r="G269" s="400">
        <v>2000</v>
      </c>
      <c r="H269" s="400">
        <f t="shared" si="14"/>
        <v>1934.3999999999999</v>
      </c>
      <c r="I269" s="400">
        <v>3500</v>
      </c>
      <c r="J269" s="400">
        <f t="shared" si="12"/>
        <v>3385.2</v>
      </c>
    </row>
    <row r="270" spans="1:10" ht="19.5">
      <c r="A270" s="218"/>
      <c r="B270" s="46" t="s">
        <v>60</v>
      </c>
      <c r="C270" s="42" t="s">
        <v>44</v>
      </c>
      <c r="D270" s="113">
        <f>D263/50</f>
        <v>1.9343999999999999</v>
      </c>
      <c r="E270" s="368">
        <v>3500</v>
      </c>
      <c r="F270" s="368">
        <f t="shared" si="13"/>
        <v>6770.4</v>
      </c>
      <c r="G270" s="400">
        <v>2000</v>
      </c>
      <c r="H270" s="400">
        <f t="shared" si="14"/>
        <v>3868.7999999999997</v>
      </c>
      <c r="I270" s="400">
        <v>1500</v>
      </c>
      <c r="J270" s="400">
        <f t="shared" si="12"/>
        <v>2901.6</v>
      </c>
    </row>
    <row r="271" spans="1:10" ht="19.5">
      <c r="A271" s="173"/>
      <c r="B271" s="57" t="s">
        <v>61</v>
      </c>
      <c r="C271" s="58"/>
      <c r="D271" s="116"/>
      <c r="E271" s="378"/>
      <c r="F271" s="368">
        <f t="shared" si="13"/>
        <v>0</v>
      </c>
      <c r="G271" s="400"/>
      <c r="H271" s="400">
        <f t="shared" si="14"/>
        <v>0</v>
      </c>
      <c r="I271" s="400"/>
      <c r="J271" s="400">
        <f t="shared" si="12"/>
        <v>0</v>
      </c>
    </row>
    <row r="272" spans="1:10" ht="19.5">
      <c r="A272" s="218"/>
      <c r="B272" s="46"/>
      <c r="C272" s="42"/>
      <c r="D272" s="113"/>
      <c r="E272" s="368"/>
      <c r="F272" s="368">
        <f t="shared" si="13"/>
        <v>0</v>
      </c>
      <c r="G272" s="400"/>
      <c r="H272" s="400">
        <f t="shared" si="14"/>
        <v>0</v>
      </c>
      <c r="I272" s="400"/>
      <c r="J272" s="400">
        <f t="shared" si="12"/>
        <v>0</v>
      </c>
    </row>
    <row r="273" spans="1:10" ht="19.5">
      <c r="A273" s="218"/>
      <c r="B273" s="57" t="s">
        <v>6</v>
      </c>
      <c r="C273" s="42"/>
      <c r="D273" s="128"/>
      <c r="E273" s="368"/>
      <c r="F273" s="368">
        <f t="shared" si="13"/>
        <v>0</v>
      </c>
      <c r="G273" s="400"/>
      <c r="H273" s="400">
        <f t="shared" si="14"/>
        <v>0</v>
      </c>
      <c r="I273" s="400"/>
      <c r="J273" s="400">
        <f t="shared" si="12"/>
        <v>0</v>
      </c>
    </row>
    <row r="274" spans="1:10" ht="19.5">
      <c r="A274" s="218"/>
      <c r="B274" s="46" t="s">
        <v>7</v>
      </c>
      <c r="C274" s="42" t="s">
        <v>62</v>
      </c>
      <c r="D274" s="128">
        <f>D275</f>
        <v>7.1330999999999998</v>
      </c>
      <c r="E274" s="368">
        <v>3500</v>
      </c>
      <c r="F274" s="368">
        <f t="shared" si="13"/>
        <v>24965.85</v>
      </c>
      <c r="G274" s="400">
        <v>5000</v>
      </c>
      <c r="H274" s="400">
        <f t="shared" si="14"/>
        <v>35665.5</v>
      </c>
      <c r="I274" s="400">
        <v>19113</v>
      </c>
      <c r="J274" s="400">
        <f t="shared" si="12"/>
        <v>136334.94029999999</v>
      </c>
    </row>
    <row r="275" spans="1:10" ht="19.5">
      <c r="A275" s="218"/>
      <c r="B275" s="46" t="s">
        <v>63</v>
      </c>
      <c r="C275" s="42" t="s">
        <v>62</v>
      </c>
      <c r="D275" s="128">
        <f>D263*(0.59/8)</f>
        <v>7.1330999999999998</v>
      </c>
      <c r="E275" s="368">
        <v>2500</v>
      </c>
      <c r="F275" s="368">
        <f t="shared" si="13"/>
        <v>17832.75</v>
      </c>
      <c r="G275" s="400">
        <v>12000</v>
      </c>
      <c r="H275" s="400">
        <f t="shared" si="14"/>
        <v>85597.2</v>
      </c>
      <c r="I275" s="400">
        <v>59640</v>
      </c>
      <c r="J275" s="400">
        <f t="shared" si="12"/>
        <v>425418.08399999997</v>
      </c>
    </row>
    <row r="276" spans="1:10" ht="19.5">
      <c r="A276" s="153"/>
      <c r="B276" s="93" t="s">
        <v>9</v>
      </c>
      <c r="C276" s="27"/>
      <c r="D276" s="116"/>
      <c r="E276" s="381"/>
      <c r="F276" s="368">
        <f t="shared" si="13"/>
        <v>0</v>
      </c>
      <c r="G276" s="400"/>
      <c r="H276" s="400">
        <f t="shared" si="14"/>
        <v>0</v>
      </c>
      <c r="I276" s="400"/>
      <c r="J276" s="400">
        <f t="shared" si="12"/>
        <v>0</v>
      </c>
    </row>
    <row r="277" spans="1:10" ht="19.5">
      <c r="A277" s="222"/>
      <c r="B277" s="102"/>
      <c r="C277" s="45"/>
      <c r="D277" s="123"/>
      <c r="E277" s="383"/>
      <c r="F277" s="368">
        <f t="shared" si="13"/>
        <v>0</v>
      </c>
      <c r="G277" s="400"/>
      <c r="H277" s="400">
        <f t="shared" si="14"/>
        <v>0</v>
      </c>
      <c r="I277" s="400"/>
      <c r="J277" s="400">
        <f t="shared" si="12"/>
        <v>0</v>
      </c>
    </row>
    <row r="278" spans="1:10" s="86" customFormat="1" ht="19.5">
      <c r="A278" s="153">
        <v>15</v>
      </c>
      <c r="B278" s="475" t="s">
        <v>124</v>
      </c>
      <c r="C278" s="475"/>
      <c r="D278" s="475"/>
      <c r="E278" s="376"/>
      <c r="F278" s="368">
        <f t="shared" si="13"/>
        <v>0</v>
      </c>
      <c r="G278" s="409"/>
      <c r="H278" s="400">
        <f t="shared" si="14"/>
        <v>0</v>
      </c>
      <c r="I278" s="409"/>
      <c r="J278" s="400">
        <f t="shared" si="12"/>
        <v>0</v>
      </c>
    </row>
    <row r="279" spans="1:10" ht="19.5">
      <c r="A279" s="185">
        <v>15.01</v>
      </c>
      <c r="B279" s="15" t="s">
        <v>64</v>
      </c>
      <c r="C279" s="34" t="s">
        <v>50</v>
      </c>
      <c r="D279" s="131">
        <f>D263</f>
        <v>96.72</v>
      </c>
      <c r="E279" s="367">
        <v>3636.377433333334</v>
      </c>
      <c r="F279" s="367">
        <f t="shared" si="13"/>
        <v>351710.42535200005</v>
      </c>
      <c r="G279" s="403"/>
      <c r="H279" s="367">
        <f>SUBTOTAL(9,H280:H290)</f>
        <v>580083.71304000006</v>
      </c>
      <c r="I279" s="403">
        <v>5999.9013333333332</v>
      </c>
      <c r="J279" s="403">
        <f t="shared" si="12"/>
        <v>580310.45695999998</v>
      </c>
    </row>
    <row r="280" spans="1:10" ht="19.5">
      <c r="A280" s="184"/>
      <c r="B280" s="57" t="s">
        <v>51</v>
      </c>
      <c r="C280" s="42"/>
      <c r="D280" s="128"/>
      <c r="E280" s="368"/>
      <c r="F280" s="368">
        <f t="shared" si="13"/>
        <v>0</v>
      </c>
      <c r="G280" s="400"/>
      <c r="H280" s="400">
        <f t="shared" si="14"/>
        <v>0</v>
      </c>
      <c r="I280" s="400"/>
      <c r="J280" s="400">
        <f t="shared" si="12"/>
        <v>0</v>
      </c>
    </row>
    <row r="281" spans="1:10" ht="19.5">
      <c r="A281" s="183"/>
      <c r="B281" s="46" t="s">
        <v>52</v>
      </c>
      <c r="C281" s="42" t="s">
        <v>12</v>
      </c>
      <c r="D281" s="113">
        <f>D279*0.01*(1/4)*1.54*(1440/50)+(D279*0.003*(1/6)*1.57*(1440/50))</f>
        <v>12.910959360000003</v>
      </c>
      <c r="E281" s="368">
        <v>11200</v>
      </c>
      <c r="F281" s="368">
        <f t="shared" si="13"/>
        <v>144602.74483200003</v>
      </c>
      <c r="G281" s="400">
        <v>14000</v>
      </c>
      <c r="H281" s="400">
        <f t="shared" si="14"/>
        <v>180753.43104000005</v>
      </c>
      <c r="I281" s="400">
        <v>11000</v>
      </c>
      <c r="J281" s="400">
        <f t="shared" si="12"/>
        <v>142020.55296000003</v>
      </c>
    </row>
    <row r="282" spans="1:10" ht="19.5">
      <c r="A282" s="218"/>
      <c r="B282" s="46" t="s">
        <v>13</v>
      </c>
      <c r="C282" s="42" t="s">
        <v>28</v>
      </c>
      <c r="D282" s="113">
        <f>D279*0.01*1.5*1.54*(3/4)</f>
        <v>1.6756739999999999</v>
      </c>
      <c r="E282" s="368">
        <v>36500</v>
      </c>
      <c r="F282" s="368">
        <f t="shared" si="13"/>
        <v>61162.100999999995</v>
      </c>
      <c r="G282" s="400">
        <v>25000</v>
      </c>
      <c r="H282" s="400">
        <f t="shared" si="14"/>
        <v>41891.85</v>
      </c>
      <c r="I282" s="400">
        <v>40000</v>
      </c>
      <c r="J282" s="400">
        <f t="shared" si="12"/>
        <v>67026.959999999992</v>
      </c>
    </row>
    <row r="283" spans="1:10" ht="19.5">
      <c r="A283" s="218"/>
      <c r="B283" s="46" t="s">
        <v>65</v>
      </c>
      <c r="C283" s="42" t="s">
        <v>31</v>
      </c>
      <c r="D283" s="113">
        <f>D279*0.003*(5/6)*1.57*(1440/50)</f>
        <v>10.933228800000002</v>
      </c>
      <c r="E283" s="368">
        <v>10400</v>
      </c>
      <c r="F283" s="368">
        <f t="shared" si="13"/>
        <v>113705.57952000001</v>
      </c>
      <c r="G283" s="400">
        <v>15000</v>
      </c>
      <c r="H283" s="400">
        <f t="shared" si="14"/>
        <v>163998.43200000003</v>
      </c>
      <c r="I283" s="400">
        <v>10000</v>
      </c>
      <c r="J283" s="400">
        <f t="shared" si="12"/>
        <v>109332.28800000002</v>
      </c>
    </row>
    <row r="284" spans="1:10" ht="19.5">
      <c r="A284" s="89"/>
      <c r="B284" s="57" t="s">
        <v>5</v>
      </c>
      <c r="C284" s="58"/>
      <c r="D284" s="116"/>
      <c r="E284" s="378"/>
      <c r="F284" s="368">
        <f t="shared" si="13"/>
        <v>0</v>
      </c>
      <c r="G284" s="400"/>
      <c r="H284" s="400">
        <f t="shared" si="14"/>
        <v>0</v>
      </c>
      <c r="I284" s="400"/>
      <c r="J284" s="400">
        <f t="shared" si="12"/>
        <v>0</v>
      </c>
    </row>
    <row r="285" spans="1:10" ht="19.5">
      <c r="A285" s="88"/>
      <c r="B285" s="46"/>
      <c r="C285" s="42"/>
      <c r="D285" s="113"/>
      <c r="E285" s="368"/>
      <c r="F285" s="368">
        <f t="shared" si="13"/>
        <v>0</v>
      </c>
      <c r="G285" s="400"/>
      <c r="H285" s="400">
        <f t="shared" si="14"/>
        <v>0</v>
      </c>
      <c r="I285" s="400"/>
      <c r="J285" s="400">
        <f t="shared" si="12"/>
        <v>0</v>
      </c>
    </row>
    <row r="286" spans="1:10" ht="19.5">
      <c r="A286" s="88"/>
      <c r="B286" s="57" t="s">
        <v>53</v>
      </c>
      <c r="C286" s="42"/>
      <c r="D286" s="128"/>
      <c r="E286" s="368"/>
      <c r="F286" s="368">
        <f t="shared" si="13"/>
        <v>0</v>
      </c>
      <c r="G286" s="400"/>
      <c r="H286" s="400">
        <f t="shared" si="14"/>
        <v>0</v>
      </c>
      <c r="I286" s="400"/>
      <c r="J286" s="400">
        <f t="shared" si="12"/>
        <v>0</v>
      </c>
    </row>
    <row r="287" spans="1:10" ht="19.5">
      <c r="A287" s="88"/>
      <c r="B287" s="46" t="s">
        <v>34</v>
      </c>
      <c r="C287" s="42" t="s">
        <v>8</v>
      </c>
      <c r="D287" s="113">
        <f>D279/15</f>
        <v>6.4479999999999995</v>
      </c>
      <c r="E287" s="368">
        <v>1800</v>
      </c>
      <c r="F287" s="368">
        <f t="shared" si="13"/>
        <v>11606.4</v>
      </c>
      <c r="G287" s="400">
        <v>10000</v>
      </c>
      <c r="H287" s="400">
        <f t="shared" si="14"/>
        <v>64479.999999999993</v>
      </c>
      <c r="I287" s="400">
        <v>27082</v>
      </c>
      <c r="J287" s="400">
        <f t="shared" si="12"/>
        <v>174624.73599999998</v>
      </c>
    </row>
    <row r="288" spans="1:10" ht="19.5">
      <c r="A288" s="88"/>
      <c r="B288" s="46" t="s">
        <v>7</v>
      </c>
      <c r="C288" s="42" t="s">
        <v>8</v>
      </c>
      <c r="D288" s="128">
        <f>D287*4</f>
        <v>25.791999999999998</v>
      </c>
      <c r="E288" s="368">
        <v>800</v>
      </c>
      <c r="F288" s="368">
        <f t="shared" si="13"/>
        <v>20633.599999999999</v>
      </c>
      <c r="G288" s="400">
        <v>5000</v>
      </c>
      <c r="H288" s="400">
        <f t="shared" si="14"/>
        <v>128959.99999999999</v>
      </c>
      <c r="I288" s="400">
        <v>3385</v>
      </c>
      <c r="J288" s="400">
        <f t="shared" si="12"/>
        <v>87305.919999999998</v>
      </c>
    </row>
    <row r="289" spans="1:10" ht="19.5">
      <c r="A289" s="89"/>
      <c r="B289" s="93" t="s">
        <v>54</v>
      </c>
      <c r="C289" s="58"/>
      <c r="D289" s="129"/>
      <c r="E289" s="378"/>
      <c r="F289" s="368">
        <f t="shared" si="13"/>
        <v>0</v>
      </c>
      <c r="G289" s="400"/>
      <c r="H289" s="400">
        <f t="shared" si="14"/>
        <v>0</v>
      </c>
      <c r="I289" s="400"/>
      <c r="J289" s="400">
        <f t="shared" si="12"/>
        <v>0</v>
      </c>
    </row>
    <row r="290" spans="1:10" ht="19.5">
      <c r="A290" s="87"/>
      <c r="B290" s="94"/>
      <c r="C290" s="22"/>
      <c r="D290" s="113"/>
      <c r="E290" s="374"/>
      <c r="F290" s="368">
        <f t="shared" si="13"/>
        <v>0</v>
      </c>
      <c r="G290" s="400"/>
      <c r="H290" s="400">
        <f t="shared" si="14"/>
        <v>0</v>
      </c>
      <c r="I290" s="400"/>
      <c r="J290" s="400">
        <f t="shared" si="12"/>
        <v>0</v>
      </c>
    </row>
    <row r="291" spans="1:10" ht="19.7" customHeight="1">
      <c r="A291" s="80">
        <v>16</v>
      </c>
      <c r="B291" s="475" t="s">
        <v>141</v>
      </c>
      <c r="C291" s="475"/>
      <c r="D291" s="475"/>
      <c r="E291" s="376"/>
      <c r="F291" s="368">
        <f t="shared" si="13"/>
        <v>0</v>
      </c>
      <c r="G291" s="400"/>
      <c r="H291" s="400">
        <f t="shared" si="14"/>
        <v>0</v>
      </c>
      <c r="I291" s="400"/>
      <c r="J291" s="400">
        <f t="shared" si="12"/>
        <v>0</v>
      </c>
    </row>
    <row r="292" spans="1:10" ht="19.5">
      <c r="A292" s="188">
        <v>16.010000000000002</v>
      </c>
      <c r="B292" s="15" t="s">
        <v>66</v>
      </c>
      <c r="C292" s="34" t="s">
        <v>1</v>
      </c>
      <c r="D292" s="131">
        <f>D279+D251</f>
        <v>193.44</v>
      </c>
      <c r="E292" s="367">
        <v>3338.2879445822996</v>
      </c>
      <c r="F292" s="367">
        <f t="shared" si="13"/>
        <v>645758.42000000004</v>
      </c>
      <c r="G292" s="403"/>
      <c r="H292" s="367">
        <f>SUBTOTAL(9,H293:H308)</f>
        <v>1222403.1600000001</v>
      </c>
      <c r="I292" s="403">
        <v>6999.9961442307686</v>
      </c>
      <c r="J292" s="403">
        <f t="shared" si="12"/>
        <v>1354079.2541399999</v>
      </c>
    </row>
    <row r="293" spans="1:10" ht="19.5">
      <c r="A293" s="87"/>
      <c r="B293" s="57" t="s">
        <v>2</v>
      </c>
      <c r="C293" s="42"/>
      <c r="D293" s="128"/>
      <c r="E293" s="368"/>
      <c r="F293" s="368">
        <f t="shared" si="13"/>
        <v>0</v>
      </c>
      <c r="G293" s="400"/>
      <c r="H293" s="400">
        <f t="shared" si="14"/>
        <v>0</v>
      </c>
      <c r="I293" s="400"/>
      <c r="J293" s="400">
        <f t="shared" si="12"/>
        <v>0</v>
      </c>
    </row>
    <row r="294" spans="1:10" ht="19.5">
      <c r="A294" s="87"/>
      <c r="B294" s="46" t="str">
        <f>'[1]Emulsion Paint'!$B$22</f>
        <v>Emulsion paint ( 3 coats)</v>
      </c>
      <c r="C294" s="42" t="s">
        <v>57</v>
      </c>
      <c r="D294" s="128">
        <f>D292*0.07*3</f>
        <v>40.622399999999999</v>
      </c>
      <c r="E294" s="368">
        <v>2830.9504115955729</v>
      </c>
      <c r="F294" s="368">
        <f t="shared" si="13"/>
        <v>115000</v>
      </c>
      <c r="G294" s="400">
        <v>2000</v>
      </c>
      <c r="H294" s="400">
        <f t="shared" si="14"/>
        <v>81244.800000000003</v>
      </c>
      <c r="I294" s="400">
        <v>4000</v>
      </c>
      <c r="J294" s="400">
        <f t="shared" si="12"/>
        <v>162489.60000000001</v>
      </c>
    </row>
    <row r="295" spans="1:10" ht="19.5">
      <c r="A295" s="210"/>
      <c r="B295" s="46" t="str">
        <f>'[1]Emulsion Paint'!$B$20</f>
        <v>Whiting/stucco ( 2 coats)</v>
      </c>
      <c r="C295" s="42" t="s">
        <v>67</v>
      </c>
      <c r="D295" s="128">
        <f>D292*((50*2)/65)*2</f>
        <v>595.20000000000005</v>
      </c>
      <c r="E295" s="368">
        <v>243.61559139784944</v>
      </c>
      <c r="F295" s="368">
        <f t="shared" si="13"/>
        <v>145000</v>
      </c>
      <c r="G295" s="400">
        <v>1000</v>
      </c>
      <c r="H295" s="400">
        <f t="shared" si="14"/>
        <v>595200</v>
      </c>
      <c r="I295" s="400">
        <v>640</v>
      </c>
      <c r="J295" s="400">
        <f t="shared" si="12"/>
        <v>380928</v>
      </c>
    </row>
    <row r="296" spans="1:10" ht="19.5">
      <c r="A296" s="88"/>
      <c r="B296" s="46" t="str">
        <f>'[1]Emulsion Paint'!$B$19</f>
        <v>Induit/undercoat ( 2 coats)</v>
      </c>
      <c r="C296" s="42" t="s">
        <v>57</v>
      </c>
      <c r="D296" s="128">
        <f>D292*0.07*2</f>
        <v>27.081600000000002</v>
      </c>
      <c r="E296" s="368">
        <v>1100</v>
      </c>
      <c r="F296" s="368">
        <f t="shared" si="13"/>
        <v>29789.760000000002</v>
      </c>
      <c r="G296" s="400">
        <v>1000</v>
      </c>
      <c r="H296" s="400">
        <f t="shared" si="14"/>
        <v>27081.600000000002</v>
      </c>
      <c r="I296" s="400">
        <v>700</v>
      </c>
      <c r="J296" s="400">
        <f t="shared" si="12"/>
        <v>18957.120000000003</v>
      </c>
    </row>
    <row r="297" spans="1:10" ht="19.5">
      <c r="A297" s="88"/>
      <c r="B297" s="46" t="s">
        <v>68</v>
      </c>
      <c r="C297" s="42" t="s">
        <v>57</v>
      </c>
      <c r="D297" s="128">
        <f>D292*((30/65)*2)</f>
        <v>178.56</v>
      </c>
      <c r="E297" s="368">
        <v>1100</v>
      </c>
      <c r="F297" s="368">
        <f t="shared" si="13"/>
        <v>196416</v>
      </c>
      <c r="G297" s="400">
        <v>1000</v>
      </c>
      <c r="H297" s="400">
        <f t="shared" si="14"/>
        <v>178560</v>
      </c>
      <c r="I297" s="400">
        <v>700</v>
      </c>
      <c r="J297" s="400">
        <f t="shared" si="12"/>
        <v>124992</v>
      </c>
    </row>
    <row r="298" spans="1:10" ht="19.5">
      <c r="A298" s="88"/>
      <c r="B298" s="46" t="str">
        <f>'[1]Emulsion Paint'!$B$21</f>
        <v>Colle</v>
      </c>
      <c r="C298" s="42" t="s">
        <v>69</v>
      </c>
      <c r="D298" s="128">
        <f>D292*((1/65)*2)</f>
        <v>5.952</v>
      </c>
      <c r="E298" s="368">
        <v>3500</v>
      </c>
      <c r="F298" s="368">
        <f t="shared" si="13"/>
        <v>20832</v>
      </c>
      <c r="G298" s="400">
        <v>15000</v>
      </c>
      <c r="H298" s="400">
        <f t="shared" si="14"/>
        <v>89280</v>
      </c>
      <c r="I298" s="400">
        <v>18000</v>
      </c>
      <c r="J298" s="400">
        <f t="shared" si="12"/>
        <v>107136</v>
      </c>
    </row>
    <row r="299" spans="1:10" ht="19.5">
      <c r="A299" s="88"/>
      <c r="B299" s="46" t="str">
        <f>'[1]Emulsion Paint'!$B$24</f>
        <v>Roller</v>
      </c>
      <c r="C299" s="42" t="s">
        <v>44</v>
      </c>
      <c r="D299" s="113">
        <f>D292/100</f>
        <v>1.9343999999999999</v>
      </c>
      <c r="E299" s="368">
        <v>3500</v>
      </c>
      <c r="F299" s="368">
        <f t="shared" si="13"/>
        <v>6770.4</v>
      </c>
      <c r="G299" s="400">
        <v>1200</v>
      </c>
      <c r="H299" s="400">
        <f t="shared" si="14"/>
        <v>2321.2799999999997</v>
      </c>
      <c r="I299" s="400">
        <v>2200</v>
      </c>
      <c r="J299" s="400">
        <f t="shared" si="12"/>
        <v>4255.6799999999994</v>
      </c>
    </row>
    <row r="300" spans="1:10" ht="19.5">
      <c r="A300" s="88"/>
      <c r="B300" s="46" t="str">
        <f>'[1]Emulsion Paint'!$B$23</f>
        <v>Brush</v>
      </c>
      <c r="C300" s="42" t="s">
        <v>44</v>
      </c>
      <c r="D300" s="113">
        <f>D292/100</f>
        <v>1.9343999999999999</v>
      </c>
      <c r="E300" s="368">
        <v>3500</v>
      </c>
      <c r="F300" s="368">
        <f t="shared" si="13"/>
        <v>6770.4</v>
      </c>
      <c r="G300" s="400">
        <v>1200</v>
      </c>
      <c r="H300" s="400">
        <f t="shared" si="14"/>
        <v>2321.2799999999997</v>
      </c>
      <c r="I300" s="400">
        <v>600</v>
      </c>
      <c r="J300" s="400">
        <f t="shared" si="12"/>
        <v>1160.6399999999999</v>
      </c>
    </row>
    <row r="301" spans="1:10" ht="19.5">
      <c r="A301" s="88"/>
      <c r="B301" s="46" t="s">
        <v>58</v>
      </c>
      <c r="C301" s="42" t="s">
        <v>59</v>
      </c>
      <c r="D301" s="113">
        <f>D292/100</f>
        <v>1.9343999999999999</v>
      </c>
      <c r="E301" s="368">
        <v>3500</v>
      </c>
      <c r="F301" s="368">
        <f t="shared" si="13"/>
        <v>6770.4</v>
      </c>
      <c r="G301" s="400">
        <v>2000</v>
      </c>
      <c r="H301" s="400">
        <f t="shared" si="14"/>
        <v>3868.7999999999997</v>
      </c>
      <c r="I301" s="400">
        <v>3500</v>
      </c>
      <c r="J301" s="400">
        <f t="shared" si="12"/>
        <v>6770.4</v>
      </c>
    </row>
    <row r="302" spans="1:10" ht="19.5">
      <c r="A302" s="89"/>
      <c r="B302" s="57" t="s">
        <v>5</v>
      </c>
      <c r="C302" s="58"/>
      <c r="D302" s="116"/>
      <c r="E302" s="378"/>
      <c r="F302" s="368">
        <f t="shared" si="13"/>
        <v>0</v>
      </c>
      <c r="G302" s="400"/>
      <c r="H302" s="400">
        <f t="shared" si="14"/>
        <v>0</v>
      </c>
      <c r="I302" s="400"/>
      <c r="J302" s="400">
        <f t="shared" si="12"/>
        <v>0</v>
      </c>
    </row>
    <row r="303" spans="1:10" ht="19.5">
      <c r="A303" s="88"/>
      <c r="B303" s="46"/>
      <c r="C303" s="42"/>
      <c r="D303" s="113"/>
      <c r="E303" s="368"/>
      <c r="F303" s="368">
        <f t="shared" si="13"/>
        <v>0</v>
      </c>
      <c r="G303" s="400"/>
      <c r="H303" s="400">
        <f t="shared" si="14"/>
        <v>0</v>
      </c>
      <c r="I303" s="400"/>
      <c r="J303" s="400">
        <f t="shared" si="12"/>
        <v>0</v>
      </c>
    </row>
    <row r="304" spans="1:10" ht="19.5">
      <c r="A304" s="88"/>
      <c r="B304" s="57" t="s">
        <v>6</v>
      </c>
      <c r="C304" s="42"/>
      <c r="D304" s="128"/>
      <c r="E304" s="368"/>
      <c r="F304" s="368">
        <f t="shared" si="13"/>
        <v>0</v>
      </c>
      <c r="G304" s="400"/>
      <c r="H304" s="400">
        <f t="shared" si="14"/>
        <v>0</v>
      </c>
      <c r="I304" s="400"/>
      <c r="J304" s="400">
        <f t="shared" si="12"/>
        <v>0</v>
      </c>
    </row>
    <row r="305" spans="1:10" ht="19.5">
      <c r="A305" s="88"/>
      <c r="B305" s="46" t="s">
        <v>7</v>
      </c>
      <c r="C305" s="42" t="s">
        <v>62</v>
      </c>
      <c r="D305" s="128">
        <f>D306</f>
        <v>14.2662</v>
      </c>
      <c r="E305" s="368">
        <v>5500</v>
      </c>
      <c r="F305" s="368">
        <f t="shared" si="13"/>
        <v>78464.099999999991</v>
      </c>
      <c r="G305" s="400">
        <v>5000</v>
      </c>
      <c r="H305" s="400">
        <f t="shared" si="14"/>
        <v>71331</v>
      </c>
      <c r="I305" s="400">
        <v>12869.7</v>
      </c>
      <c r="J305" s="400">
        <f t="shared" si="12"/>
        <v>183601.71414</v>
      </c>
    </row>
    <row r="306" spans="1:10" ht="19.5">
      <c r="A306" s="88"/>
      <c r="B306" s="46" t="s">
        <v>70</v>
      </c>
      <c r="C306" s="42" t="s">
        <v>62</v>
      </c>
      <c r="D306" s="128">
        <f>D292*(0.59/8)</f>
        <v>14.2662</v>
      </c>
      <c r="E306" s="368">
        <v>2800</v>
      </c>
      <c r="F306" s="368">
        <f t="shared" si="13"/>
        <v>39945.360000000001</v>
      </c>
      <c r="G306" s="400">
        <v>12000</v>
      </c>
      <c r="H306" s="400">
        <f t="shared" si="14"/>
        <v>171194.4</v>
      </c>
      <c r="I306" s="400">
        <v>25500</v>
      </c>
      <c r="J306" s="400">
        <f t="shared" si="12"/>
        <v>363788.1</v>
      </c>
    </row>
    <row r="307" spans="1:10" ht="19.5">
      <c r="A307" s="89"/>
      <c r="B307" s="57" t="s">
        <v>54</v>
      </c>
      <c r="C307" s="58"/>
      <c r="D307" s="129"/>
      <c r="E307" s="378"/>
      <c r="F307" s="368">
        <f t="shared" si="13"/>
        <v>0</v>
      </c>
      <c r="G307" s="400"/>
      <c r="H307" s="400">
        <f t="shared" si="14"/>
        <v>0</v>
      </c>
      <c r="I307" s="400"/>
      <c r="J307" s="400">
        <f t="shared" si="12"/>
        <v>0</v>
      </c>
    </row>
    <row r="308" spans="1:10" ht="19.5">
      <c r="A308" s="89"/>
      <c r="B308" s="57"/>
      <c r="C308" s="58"/>
      <c r="D308" s="129"/>
      <c r="E308" s="378"/>
      <c r="F308" s="368">
        <f t="shared" si="13"/>
        <v>0</v>
      </c>
      <c r="G308" s="400"/>
      <c r="H308" s="400">
        <f t="shared" si="14"/>
        <v>0</v>
      </c>
      <c r="I308" s="400"/>
      <c r="J308" s="400">
        <f t="shared" si="12"/>
        <v>0</v>
      </c>
    </row>
    <row r="309" spans="1:10" ht="36.75" customHeight="1">
      <c r="A309" s="262">
        <v>17</v>
      </c>
      <c r="B309" s="471" t="s">
        <v>131</v>
      </c>
      <c r="C309" s="471"/>
      <c r="D309" s="471"/>
      <c r="E309" s="420"/>
      <c r="F309" s="368">
        <f t="shared" si="13"/>
        <v>0</v>
      </c>
      <c r="G309" s="400"/>
      <c r="H309" s="400">
        <f t="shared" si="14"/>
        <v>0</v>
      </c>
      <c r="I309" s="400"/>
      <c r="J309" s="400">
        <f t="shared" si="12"/>
        <v>0</v>
      </c>
    </row>
    <row r="310" spans="1:10" ht="19.5">
      <c r="A310" s="1">
        <v>17.010000000000002</v>
      </c>
      <c r="B310" s="2" t="s">
        <v>164</v>
      </c>
      <c r="C310" s="247" t="s">
        <v>129</v>
      </c>
      <c r="D310" s="245">
        <v>6</v>
      </c>
      <c r="E310" s="386">
        <v>58500</v>
      </c>
      <c r="F310" s="367">
        <f t="shared" si="13"/>
        <v>351000</v>
      </c>
      <c r="G310" s="403"/>
      <c r="H310" s="367">
        <f>SUBTOTAL(9,H311:H319)</f>
        <v>1590000</v>
      </c>
      <c r="I310" s="403">
        <v>170000</v>
      </c>
      <c r="J310" s="403">
        <f t="shared" si="12"/>
        <v>1020000</v>
      </c>
    </row>
    <row r="311" spans="1:10" ht="19.5">
      <c r="A311" s="208"/>
      <c r="B311" s="7" t="s">
        <v>29</v>
      </c>
      <c r="C311" s="8"/>
      <c r="D311" s="128"/>
      <c r="E311" s="368"/>
      <c r="F311" s="368">
        <f t="shared" si="13"/>
        <v>0</v>
      </c>
      <c r="G311" s="400"/>
      <c r="H311" s="400">
        <f t="shared" si="14"/>
        <v>0</v>
      </c>
      <c r="I311" s="400"/>
      <c r="J311" s="400">
        <f t="shared" si="12"/>
        <v>0</v>
      </c>
    </row>
    <row r="312" spans="1:10" ht="19.5">
      <c r="A312" s="82"/>
      <c r="B312" s="46" t="s">
        <v>143</v>
      </c>
      <c r="C312" s="229" t="s">
        <v>129</v>
      </c>
      <c r="D312" s="244">
        <v>6</v>
      </c>
      <c r="E312" s="387">
        <v>45000</v>
      </c>
      <c r="F312" s="368">
        <f t="shared" si="13"/>
        <v>270000</v>
      </c>
      <c r="G312" s="400">
        <v>250000</v>
      </c>
      <c r="H312" s="400">
        <f t="shared" si="14"/>
        <v>1500000</v>
      </c>
      <c r="I312" s="400">
        <v>165000</v>
      </c>
      <c r="J312" s="400">
        <f t="shared" si="12"/>
        <v>990000</v>
      </c>
    </row>
    <row r="313" spans="1:10" ht="19.5">
      <c r="A313" s="83"/>
      <c r="B313" s="7" t="s">
        <v>5</v>
      </c>
      <c r="C313" s="11"/>
      <c r="D313" s="129"/>
      <c r="E313" s="378"/>
      <c r="F313" s="368">
        <f t="shared" si="13"/>
        <v>0</v>
      </c>
      <c r="G313" s="400"/>
      <c r="H313" s="400">
        <f t="shared" si="14"/>
        <v>0</v>
      </c>
      <c r="I313" s="400"/>
      <c r="J313" s="400">
        <f t="shared" si="12"/>
        <v>0</v>
      </c>
    </row>
    <row r="314" spans="1:10" ht="19.5">
      <c r="A314" s="82"/>
      <c r="B314" s="12"/>
      <c r="C314" s="8"/>
      <c r="D314" s="128"/>
      <c r="E314" s="368"/>
      <c r="F314" s="368">
        <f t="shared" si="13"/>
        <v>0</v>
      </c>
      <c r="G314" s="400"/>
      <c r="H314" s="400">
        <f t="shared" si="14"/>
        <v>0</v>
      </c>
      <c r="I314" s="400"/>
      <c r="J314" s="400">
        <f t="shared" si="12"/>
        <v>0</v>
      </c>
    </row>
    <row r="315" spans="1:10" ht="19.5">
      <c r="A315" s="209"/>
      <c r="B315" s="7" t="s">
        <v>33</v>
      </c>
      <c r="C315" s="8"/>
      <c r="D315" s="128"/>
      <c r="E315" s="368"/>
      <c r="F315" s="368">
        <f t="shared" si="13"/>
        <v>0</v>
      </c>
      <c r="G315" s="400"/>
      <c r="H315" s="400">
        <f t="shared" si="14"/>
        <v>0</v>
      </c>
      <c r="I315" s="400"/>
      <c r="J315" s="400">
        <f t="shared" si="12"/>
        <v>0</v>
      </c>
    </row>
    <row r="316" spans="1:10" ht="19.5">
      <c r="A316" s="82"/>
      <c r="B316" s="12" t="s">
        <v>34</v>
      </c>
      <c r="C316" s="8" t="s">
        <v>21</v>
      </c>
      <c r="D316" s="113">
        <f>D312/2</f>
        <v>3</v>
      </c>
      <c r="E316" s="368">
        <v>6750</v>
      </c>
      <c r="F316" s="368">
        <f t="shared" si="13"/>
        <v>20250</v>
      </c>
      <c r="G316" s="400">
        <v>10000</v>
      </c>
      <c r="H316" s="400">
        <f t="shared" si="14"/>
        <v>30000</v>
      </c>
      <c r="I316" s="400">
        <v>8000</v>
      </c>
      <c r="J316" s="400">
        <f t="shared" si="12"/>
        <v>24000</v>
      </c>
    </row>
    <row r="317" spans="1:10" ht="19.5">
      <c r="A317" s="82"/>
      <c r="B317" s="12" t="s">
        <v>7</v>
      </c>
      <c r="C317" s="8" t="s">
        <v>21</v>
      </c>
      <c r="D317" s="113">
        <f>+D316*4</f>
        <v>12</v>
      </c>
      <c r="E317" s="368">
        <v>5062.5</v>
      </c>
      <c r="F317" s="368">
        <f t="shared" si="13"/>
        <v>60750</v>
      </c>
      <c r="G317" s="400">
        <v>5000</v>
      </c>
      <c r="H317" s="400">
        <f t="shared" si="14"/>
        <v>60000</v>
      </c>
      <c r="I317" s="400">
        <v>500</v>
      </c>
      <c r="J317" s="400">
        <f t="shared" si="12"/>
        <v>6000</v>
      </c>
    </row>
    <row r="318" spans="1:10" ht="19.5">
      <c r="A318" s="83"/>
      <c r="B318" s="7" t="s">
        <v>39</v>
      </c>
      <c r="C318" s="11"/>
      <c r="D318" s="129"/>
      <c r="E318" s="378"/>
      <c r="F318" s="368">
        <f t="shared" si="13"/>
        <v>0</v>
      </c>
      <c r="G318" s="400"/>
      <c r="H318" s="400">
        <f t="shared" si="14"/>
        <v>0</v>
      </c>
      <c r="I318" s="400"/>
      <c r="J318" s="400">
        <f t="shared" si="12"/>
        <v>0</v>
      </c>
    </row>
    <row r="319" spans="1:10">
      <c r="A319" s="263"/>
      <c r="B319" s="46"/>
      <c r="C319" s="256"/>
      <c r="D319" s="264"/>
      <c r="E319" s="421"/>
      <c r="F319" s="368">
        <f t="shared" si="13"/>
        <v>0</v>
      </c>
      <c r="G319" s="400"/>
      <c r="H319" s="400">
        <f t="shared" si="14"/>
        <v>0</v>
      </c>
      <c r="I319" s="400"/>
      <c r="J319" s="400">
        <f t="shared" si="12"/>
        <v>0</v>
      </c>
    </row>
    <row r="320" spans="1:10" ht="37.700000000000003" customHeight="1">
      <c r="A320" s="262">
        <v>18</v>
      </c>
      <c r="B320" s="471" t="s">
        <v>132</v>
      </c>
      <c r="C320" s="471"/>
      <c r="D320" s="471"/>
      <c r="E320" s="420"/>
      <c r="F320" s="368">
        <f t="shared" si="13"/>
        <v>0</v>
      </c>
      <c r="G320" s="400"/>
      <c r="H320" s="400">
        <f t="shared" si="14"/>
        <v>0</v>
      </c>
      <c r="I320" s="400"/>
      <c r="J320" s="400">
        <f t="shared" si="12"/>
        <v>0</v>
      </c>
    </row>
    <row r="321" spans="1:10" ht="19.5">
      <c r="A321" s="1">
        <v>18.010000000000002</v>
      </c>
      <c r="B321" s="2" t="s">
        <v>133</v>
      </c>
      <c r="C321" s="247" t="s">
        <v>129</v>
      </c>
      <c r="D321" s="245">
        <v>1</v>
      </c>
      <c r="E321" s="424">
        <v>294840.00000000006</v>
      </c>
      <c r="F321" s="367">
        <f t="shared" si="13"/>
        <v>294840.00000000006</v>
      </c>
      <c r="G321" s="403"/>
      <c r="H321" s="367">
        <f>SUBTOTAL(9,H322:H328)</f>
        <v>315000</v>
      </c>
      <c r="I321" s="403">
        <v>468600</v>
      </c>
      <c r="J321" s="403">
        <f t="shared" si="12"/>
        <v>468600</v>
      </c>
    </row>
    <row r="322" spans="1:10" ht="19.5">
      <c r="A322" s="208"/>
      <c r="B322" s="7" t="s">
        <v>29</v>
      </c>
      <c r="C322" s="8"/>
      <c r="D322" s="128"/>
      <c r="E322" s="368"/>
      <c r="F322" s="368">
        <f t="shared" si="13"/>
        <v>0</v>
      </c>
      <c r="G322" s="400"/>
      <c r="H322" s="400">
        <f t="shared" si="14"/>
        <v>0</v>
      </c>
      <c r="I322" s="400"/>
      <c r="J322" s="400">
        <f t="shared" si="12"/>
        <v>0</v>
      </c>
    </row>
    <row r="323" spans="1:10" ht="19.5">
      <c r="A323" s="82"/>
      <c r="B323" s="12" t="s">
        <v>166</v>
      </c>
      <c r="C323" s="8" t="s">
        <v>144</v>
      </c>
      <c r="D323" s="128">
        <f>D321</f>
        <v>1</v>
      </c>
      <c r="E323" s="368">
        <v>245700.00000000003</v>
      </c>
      <c r="F323" s="368">
        <f t="shared" si="13"/>
        <v>245700.00000000003</v>
      </c>
      <c r="G323" s="400">
        <v>300000</v>
      </c>
      <c r="H323" s="400">
        <f t="shared" si="14"/>
        <v>300000</v>
      </c>
      <c r="I323" s="400">
        <v>453600</v>
      </c>
      <c r="J323" s="400">
        <f t="shared" si="12"/>
        <v>453600</v>
      </c>
    </row>
    <row r="324" spans="1:10" ht="19.5">
      <c r="A324" s="82"/>
      <c r="B324" s="7" t="s">
        <v>5</v>
      </c>
      <c r="C324" s="11"/>
      <c r="D324" s="129"/>
      <c r="E324" s="378"/>
      <c r="F324" s="368">
        <f t="shared" si="13"/>
        <v>0</v>
      </c>
      <c r="G324" s="400"/>
      <c r="H324" s="400">
        <f t="shared" si="14"/>
        <v>0</v>
      </c>
      <c r="I324" s="400"/>
      <c r="J324" s="400">
        <f t="shared" si="12"/>
        <v>0</v>
      </c>
    </row>
    <row r="325" spans="1:10" ht="19.5">
      <c r="A325" s="209"/>
      <c r="B325" s="12"/>
      <c r="C325" s="8"/>
      <c r="D325" s="128"/>
      <c r="E325" s="368"/>
      <c r="F325" s="368">
        <f t="shared" si="13"/>
        <v>0</v>
      </c>
      <c r="G325" s="400"/>
      <c r="H325" s="400">
        <f t="shared" si="14"/>
        <v>0</v>
      </c>
      <c r="I325" s="400"/>
      <c r="J325" s="400">
        <f t="shared" ref="J325:J328" si="15">D325*I325</f>
        <v>0</v>
      </c>
    </row>
    <row r="326" spans="1:10" ht="19.5">
      <c r="A326" s="82"/>
      <c r="B326" s="7" t="s">
        <v>33</v>
      </c>
      <c r="C326" s="8"/>
      <c r="D326" s="128"/>
      <c r="E326" s="368"/>
      <c r="F326" s="368">
        <f t="shared" si="13"/>
        <v>0</v>
      </c>
      <c r="G326" s="400"/>
      <c r="H326" s="400">
        <f t="shared" si="14"/>
        <v>0</v>
      </c>
      <c r="I326" s="400"/>
      <c r="J326" s="400">
        <f t="shared" si="15"/>
        <v>0</v>
      </c>
    </row>
    <row r="327" spans="1:10" ht="19.5">
      <c r="A327" s="82"/>
      <c r="B327" s="12" t="s">
        <v>34</v>
      </c>
      <c r="C327" s="8" t="s">
        <v>21</v>
      </c>
      <c r="D327" s="113">
        <f>D321/2</f>
        <v>0.5</v>
      </c>
      <c r="E327" s="368">
        <v>24570.000000000004</v>
      </c>
      <c r="F327" s="368">
        <f t="shared" si="13"/>
        <v>12285.000000000002</v>
      </c>
      <c r="G327" s="400">
        <v>10000</v>
      </c>
      <c r="H327" s="400">
        <f t="shared" ref="H327:H328" si="16">D327*G327</f>
        <v>5000</v>
      </c>
      <c r="I327" s="400">
        <v>24000</v>
      </c>
      <c r="J327" s="400">
        <f t="shared" si="15"/>
        <v>12000</v>
      </c>
    </row>
    <row r="328" spans="1:10" ht="19.5">
      <c r="A328" s="83"/>
      <c r="B328" s="12" t="s">
        <v>7</v>
      </c>
      <c r="C328" s="8" t="s">
        <v>21</v>
      </c>
      <c r="D328" s="113">
        <f>+D327*4</f>
        <v>2</v>
      </c>
      <c r="E328" s="368">
        <v>18427.500000000004</v>
      </c>
      <c r="F328" s="368">
        <f t="shared" ref="F328" si="17">D328*E328</f>
        <v>36855.000000000007</v>
      </c>
      <c r="G328" s="400">
        <v>5000</v>
      </c>
      <c r="H328" s="400">
        <f t="shared" si="16"/>
        <v>10000</v>
      </c>
      <c r="I328" s="400">
        <v>1500</v>
      </c>
      <c r="J328" s="400">
        <f t="shared" si="15"/>
        <v>3000</v>
      </c>
    </row>
    <row r="329" spans="1:10" ht="16.5">
      <c r="A329" s="258"/>
      <c r="B329" s="259" t="s">
        <v>39</v>
      </c>
      <c r="C329" s="223"/>
      <c r="D329" s="178"/>
      <c r="E329" s="378"/>
      <c r="F329" s="378"/>
      <c r="G329" s="400"/>
      <c r="H329" s="400"/>
      <c r="I329" s="400"/>
      <c r="J329" s="400"/>
    </row>
    <row r="330" spans="1:10" s="282" customFormat="1" ht="37.5">
      <c r="A330" s="283"/>
      <c r="B330" s="478" t="s">
        <v>177</v>
      </c>
      <c r="C330" s="478"/>
      <c r="D330" s="478"/>
      <c r="E330" s="425"/>
      <c r="F330" s="439">
        <f>F5+F9+F16+F24+F32+F42+F60+F80+F91+F102+F114+F127+F138+F149+F162+F173+F186+F200+F220+F239+F251+F263+F279+F292+F310+F321</f>
        <v>9348512.6129950266</v>
      </c>
      <c r="G330" s="440"/>
      <c r="H330" s="440">
        <f>H5+H9+H16+H24+H32+H42+H60+H80+H91+H102+H114+H127+H138+H149+H162+H173+H186+H200+H220+H239+H251+H263+H279+H292+H310+H321</f>
        <v>11469603.076468509</v>
      </c>
      <c r="I330" s="440"/>
      <c r="J330" s="440">
        <f>J5+J9+J16+J24+J32+J42+J60+J80+J91+J102+J114+J127+J138+J149+J162+J173+J186+J200+J220+J239+J251+J263+J279+J292+J310+J321</f>
        <v>11657802.742822576</v>
      </c>
    </row>
  </sheetData>
  <mergeCells count="18">
    <mergeCell ref="B330:D330"/>
    <mergeCell ref="B4:D4"/>
    <mergeCell ref="B15:D15"/>
    <mergeCell ref="B41:D41"/>
    <mergeCell ref="B79:D79"/>
    <mergeCell ref="B126:D126"/>
    <mergeCell ref="B291:D291"/>
    <mergeCell ref="B278:D278"/>
    <mergeCell ref="B250:D250"/>
    <mergeCell ref="B161:D161"/>
    <mergeCell ref="B183:D183"/>
    <mergeCell ref="B199:D199"/>
    <mergeCell ref="B219:D219"/>
    <mergeCell ref="G2:H2"/>
    <mergeCell ref="I2:J2"/>
    <mergeCell ref="B309:D309"/>
    <mergeCell ref="B320:D320"/>
    <mergeCell ref="E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38"/>
  <sheetViews>
    <sheetView topLeftCell="B325" zoomScale="99" zoomScaleNormal="99" workbookViewId="0">
      <selection activeCell="H5" sqref="H5"/>
    </sheetView>
  </sheetViews>
  <sheetFormatPr defaultColWidth="8.85546875" defaultRowHeight="15.75"/>
  <cols>
    <col min="1" max="1" width="8.85546875" style="211"/>
    <col min="2" max="2" width="64.85546875" style="103" customWidth="1"/>
    <col min="3" max="3" width="8.85546875" style="105"/>
    <col min="4" max="4" width="16.85546875" style="135" customWidth="1"/>
    <col min="5" max="6" width="18.42578125" style="250" customWidth="1"/>
    <col min="7" max="7" width="15.85546875" customWidth="1"/>
    <col min="8" max="8" width="17.140625" customWidth="1"/>
    <col min="9" max="9" width="15" customWidth="1"/>
    <col min="10" max="10" width="15.5703125" customWidth="1"/>
  </cols>
  <sheetData>
    <row r="2" spans="1:10" ht="21">
      <c r="E2" s="469" t="s">
        <v>225</v>
      </c>
      <c r="F2" s="470"/>
      <c r="G2" s="477" t="s">
        <v>229</v>
      </c>
      <c r="H2" s="477"/>
      <c r="I2" s="477" t="s">
        <v>228</v>
      </c>
      <c r="J2" s="477"/>
    </row>
    <row r="3" spans="1:10" s="105" customFormat="1" ht="40.700000000000003" customHeight="1">
      <c r="A3" s="207"/>
      <c r="B3" s="139" t="s">
        <v>120</v>
      </c>
      <c r="C3" s="139" t="s">
        <v>121</v>
      </c>
      <c r="D3" s="139" t="s">
        <v>122</v>
      </c>
      <c r="E3" s="447" t="s">
        <v>227</v>
      </c>
      <c r="F3" s="447" t="s">
        <v>226</v>
      </c>
      <c r="G3" s="448" t="s">
        <v>227</v>
      </c>
      <c r="H3" s="449" t="s">
        <v>226</v>
      </c>
      <c r="I3" s="448" t="s">
        <v>227</v>
      </c>
      <c r="J3" s="449" t="s">
        <v>226</v>
      </c>
    </row>
    <row r="4" spans="1:10" ht="19.5" customHeight="1">
      <c r="A4" s="140">
        <v>1</v>
      </c>
      <c r="B4" s="473" t="s">
        <v>93</v>
      </c>
      <c r="C4" s="473"/>
      <c r="D4" s="473"/>
      <c r="E4" s="366"/>
      <c r="F4" s="366"/>
    </row>
    <row r="5" spans="1:10" ht="18.75" customHeight="1">
      <c r="A5" s="179">
        <v>1.01</v>
      </c>
      <c r="B5" s="15" t="s">
        <v>94</v>
      </c>
      <c r="C5" s="34" t="s">
        <v>28</v>
      </c>
      <c r="D5" s="120">
        <f>27.6*0.8*0.4</f>
        <v>8.8320000000000007</v>
      </c>
      <c r="E5" s="367">
        <v>2222.2222222222222</v>
      </c>
      <c r="F5" s="367">
        <f>E5*D5</f>
        <v>19626.666666666668</v>
      </c>
      <c r="G5" s="403"/>
      <c r="H5" s="367">
        <f>SUBTOTAL(9,H6:H7)</f>
        <v>49066.666666666672</v>
      </c>
      <c r="I5" s="403">
        <v>10000</v>
      </c>
      <c r="J5" s="367">
        <f>D5*I5</f>
        <v>88320.000000000015</v>
      </c>
    </row>
    <row r="6" spans="1:10" ht="18.75" customHeight="1">
      <c r="A6" s="180"/>
      <c r="B6" s="7" t="s">
        <v>6</v>
      </c>
      <c r="C6" s="8"/>
      <c r="D6" s="109"/>
      <c r="E6" s="368"/>
      <c r="F6" s="368"/>
      <c r="G6" s="400"/>
      <c r="H6" s="400"/>
      <c r="I6" s="400"/>
      <c r="J6" s="368"/>
    </row>
    <row r="7" spans="1:10" ht="18.75" customHeight="1">
      <c r="A7" s="180"/>
      <c r="B7" s="12" t="s">
        <v>7</v>
      </c>
      <c r="C7" s="8" t="s">
        <v>8</v>
      </c>
      <c r="D7" s="113">
        <f>D5/0.9</f>
        <v>9.8133333333333344</v>
      </c>
      <c r="E7" s="368">
        <v>2000</v>
      </c>
      <c r="F7" s="368">
        <f>D7*E7</f>
        <v>19626.666666666668</v>
      </c>
      <c r="G7" s="400">
        <v>5000</v>
      </c>
      <c r="H7" s="400">
        <f t="shared" ref="H7:H70" si="0">D7*G7</f>
        <v>49066.666666666672</v>
      </c>
      <c r="I7" s="400">
        <v>9000</v>
      </c>
      <c r="J7" s="368">
        <f>D7*I7</f>
        <v>88320.000000000015</v>
      </c>
    </row>
    <row r="8" spans="1:10" ht="18.75" customHeight="1">
      <c r="A8" s="159"/>
      <c r="B8" s="57" t="s">
        <v>9</v>
      </c>
      <c r="C8" s="58"/>
      <c r="D8" s="115"/>
      <c r="E8" s="369"/>
      <c r="F8" s="368">
        <f t="shared" ref="F8:F71" si="1">D8*E8</f>
        <v>0</v>
      </c>
      <c r="G8" s="400"/>
      <c r="H8" s="400">
        <f t="shared" si="0"/>
        <v>0</v>
      </c>
      <c r="I8" s="400"/>
      <c r="J8" s="368">
        <f t="shared" ref="J8:J71" si="2">D8*I8</f>
        <v>0</v>
      </c>
    </row>
    <row r="9" spans="1:10" ht="18.75" customHeight="1">
      <c r="A9" s="179">
        <v>1.03</v>
      </c>
      <c r="B9" s="15" t="s">
        <v>114</v>
      </c>
      <c r="C9" s="34" t="s">
        <v>28</v>
      </c>
      <c r="D9" s="126">
        <f>(0.75*0.75*1.25)*4</f>
        <v>2.8125</v>
      </c>
      <c r="E9" s="367">
        <v>1444.4444444444443</v>
      </c>
      <c r="F9" s="367">
        <f t="shared" si="1"/>
        <v>4062.4999999999995</v>
      </c>
      <c r="G9" s="403"/>
      <c r="H9" s="367">
        <f>SUBTOTAL(9,H10:H13)</f>
        <v>20312.5</v>
      </c>
      <c r="I9" s="403">
        <v>11111</v>
      </c>
      <c r="J9" s="367">
        <f t="shared" si="2"/>
        <v>31249.6875</v>
      </c>
    </row>
    <row r="10" spans="1:10" ht="18.75" customHeight="1">
      <c r="A10" s="180"/>
      <c r="B10" s="7" t="s">
        <v>6</v>
      </c>
      <c r="C10" s="8"/>
      <c r="D10" s="113"/>
      <c r="E10" s="368"/>
      <c r="F10" s="368">
        <f t="shared" si="1"/>
        <v>0</v>
      </c>
      <c r="G10" s="400"/>
      <c r="H10" s="400">
        <f t="shared" si="0"/>
        <v>0</v>
      </c>
      <c r="I10" s="400"/>
      <c r="J10" s="368">
        <f t="shared" si="2"/>
        <v>0</v>
      </c>
    </row>
    <row r="11" spans="1:10" ht="18.75" customHeight="1">
      <c r="A11" s="180"/>
      <c r="B11" s="12" t="s">
        <v>92</v>
      </c>
      <c r="C11" s="8" t="s">
        <v>8</v>
      </c>
      <c r="D11" s="113">
        <f>D12/10</f>
        <v>0.3125</v>
      </c>
      <c r="E11" s="368">
        <v>2500</v>
      </c>
      <c r="F11" s="368">
        <f t="shared" si="1"/>
        <v>781.25</v>
      </c>
      <c r="G11" s="400">
        <v>15000</v>
      </c>
      <c r="H11" s="400">
        <f t="shared" si="0"/>
        <v>4687.5</v>
      </c>
      <c r="I11" s="400">
        <v>10000</v>
      </c>
      <c r="J11" s="368">
        <f t="shared" si="2"/>
        <v>3125</v>
      </c>
    </row>
    <row r="12" spans="1:10" ht="18.75" customHeight="1">
      <c r="A12" s="180"/>
      <c r="B12" s="12" t="s">
        <v>7</v>
      </c>
      <c r="C12" s="8" t="s">
        <v>8</v>
      </c>
      <c r="D12" s="113">
        <f>D9/0.9</f>
        <v>3.125</v>
      </c>
      <c r="E12" s="368">
        <v>1050</v>
      </c>
      <c r="F12" s="368">
        <f t="shared" si="1"/>
        <v>3281.25</v>
      </c>
      <c r="G12" s="400">
        <v>5000</v>
      </c>
      <c r="H12" s="400">
        <f t="shared" si="0"/>
        <v>15625</v>
      </c>
      <c r="I12" s="400">
        <v>9000</v>
      </c>
      <c r="J12" s="368">
        <f t="shared" si="2"/>
        <v>28125</v>
      </c>
    </row>
    <row r="13" spans="1:10" ht="18.75" customHeight="1">
      <c r="A13" s="159"/>
      <c r="B13" s="57" t="s">
        <v>9</v>
      </c>
      <c r="C13" s="58"/>
      <c r="D13" s="110"/>
      <c r="E13" s="369"/>
      <c r="F13" s="368">
        <f t="shared" si="1"/>
        <v>0</v>
      </c>
      <c r="G13" s="400"/>
      <c r="H13" s="400">
        <f t="shared" si="0"/>
        <v>0</v>
      </c>
      <c r="I13" s="400"/>
      <c r="J13" s="368">
        <f t="shared" si="2"/>
        <v>0</v>
      </c>
    </row>
    <row r="14" spans="1:10" ht="18.75" customHeight="1">
      <c r="A14" s="181"/>
      <c r="B14" s="57"/>
      <c r="C14" s="42"/>
      <c r="D14" s="111"/>
      <c r="E14" s="370"/>
      <c r="F14" s="368">
        <f t="shared" si="1"/>
        <v>0</v>
      </c>
      <c r="G14" s="400"/>
      <c r="H14" s="400">
        <f t="shared" si="0"/>
        <v>0</v>
      </c>
      <c r="I14" s="400"/>
      <c r="J14" s="368">
        <f t="shared" si="2"/>
        <v>0</v>
      </c>
    </row>
    <row r="15" spans="1:10" ht="34.700000000000003" customHeight="1">
      <c r="A15" s="146">
        <v>2</v>
      </c>
      <c r="B15" s="467" t="s">
        <v>0</v>
      </c>
      <c r="C15" s="467"/>
      <c r="D15" s="467"/>
      <c r="E15" s="372"/>
      <c r="F15" s="368">
        <f t="shared" si="1"/>
        <v>0</v>
      </c>
      <c r="G15" s="400"/>
      <c r="H15" s="400">
        <f t="shared" si="0"/>
        <v>0</v>
      </c>
      <c r="I15" s="400"/>
      <c r="J15" s="368">
        <f t="shared" si="2"/>
        <v>0</v>
      </c>
    </row>
    <row r="16" spans="1:10" ht="18.75" customHeight="1">
      <c r="A16" s="182">
        <v>2.0099999999999998</v>
      </c>
      <c r="B16" s="2" t="s">
        <v>71</v>
      </c>
      <c r="C16" s="3" t="s">
        <v>1</v>
      </c>
      <c r="D16" s="112">
        <f>27.6*0.4</f>
        <v>11.040000000000001</v>
      </c>
      <c r="E16" s="371">
        <v>957.62536231884064</v>
      </c>
      <c r="F16" s="367">
        <f t="shared" si="1"/>
        <v>10572.184000000001</v>
      </c>
      <c r="G16" s="403"/>
      <c r="H16" s="367">
        <f>SUBTOTAL(9,H17:H22)</f>
        <v>14168.000000000002</v>
      </c>
      <c r="I16" s="403">
        <v>2000</v>
      </c>
      <c r="J16" s="367">
        <f t="shared" si="2"/>
        <v>22080.000000000004</v>
      </c>
    </row>
    <row r="17" spans="1:10" ht="18.75" customHeight="1">
      <c r="A17" s="180"/>
      <c r="B17" s="7" t="s">
        <v>2</v>
      </c>
      <c r="C17" s="8"/>
      <c r="D17" s="113"/>
      <c r="E17" s="368"/>
      <c r="F17" s="368">
        <f t="shared" si="1"/>
        <v>0</v>
      </c>
      <c r="G17" s="400"/>
      <c r="H17" s="400">
        <f t="shared" si="0"/>
        <v>0</v>
      </c>
      <c r="I17" s="400"/>
      <c r="J17" s="368">
        <f t="shared" si="2"/>
        <v>0</v>
      </c>
    </row>
    <row r="18" spans="1:10" ht="18.75" customHeight="1">
      <c r="A18" s="180"/>
      <c r="B18" s="46" t="s">
        <v>3</v>
      </c>
      <c r="C18" s="8" t="s">
        <v>4</v>
      </c>
      <c r="D18" s="113">
        <f>D16/10</f>
        <v>1.1040000000000001</v>
      </c>
      <c r="E18" s="368">
        <v>5500</v>
      </c>
      <c r="F18" s="368">
        <f t="shared" si="1"/>
        <v>6072.0000000000009</v>
      </c>
      <c r="G18" s="400">
        <v>12000</v>
      </c>
      <c r="H18" s="400">
        <f t="shared" si="0"/>
        <v>13248.000000000002</v>
      </c>
      <c r="I18" s="400">
        <v>18000</v>
      </c>
      <c r="J18" s="368">
        <f t="shared" si="2"/>
        <v>19872</v>
      </c>
    </row>
    <row r="19" spans="1:10" ht="18.75" customHeight="1">
      <c r="A19" s="155"/>
      <c r="B19" s="57" t="s">
        <v>5</v>
      </c>
      <c r="C19" s="11"/>
      <c r="D19" s="116"/>
      <c r="E19" s="378"/>
      <c r="F19" s="368">
        <f t="shared" si="1"/>
        <v>0</v>
      </c>
      <c r="G19" s="400"/>
      <c r="H19" s="400">
        <f t="shared" si="0"/>
        <v>0</v>
      </c>
      <c r="I19" s="400"/>
      <c r="J19" s="368">
        <f t="shared" si="2"/>
        <v>0</v>
      </c>
    </row>
    <row r="20" spans="1:10" ht="18.75" customHeight="1">
      <c r="A20" s="180"/>
      <c r="B20" s="46"/>
      <c r="C20" s="8"/>
      <c r="D20" s="113"/>
      <c r="E20" s="368"/>
      <c r="F20" s="368">
        <f t="shared" si="1"/>
        <v>0</v>
      </c>
      <c r="G20" s="400"/>
      <c r="H20" s="400">
        <f t="shared" si="0"/>
        <v>0</v>
      </c>
      <c r="I20" s="400"/>
      <c r="J20" s="368">
        <f t="shared" si="2"/>
        <v>0</v>
      </c>
    </row>
    <row r="21" spans="1:10" ht="18.75" customHeight="1">
      <c r="A21" s="180"/>
      <c r="B21" s="7" t="s">
        <v>6</v>
      </c>
      <c r="C21" s="8"/>
      <c r="D21" s="113"/>
      <c r="E21" s="368"/>
      <c r="F21" s="368">
        <f t="shared" si="1"/>
        <v>0</v>
      </c>
      <c r="G21" s="400"/>
      <c r="H21" s="400">
        <f t="shared" si="0"/>
        <v>0</v>
      </c>
      <c r="I21" s="400"/>
      <c r="J21" s="368">
        <f t="shared" si="2"/>
        <v>0</v>
      </c>
    </row>
    <row r="22" spans="1:10" ht="18.75" customHeight="1">
      <c r="A22" s="180"/>
      <c r="B22" s="12" t="s">
        <v>7</v>
      </c>
      <c r="C22" s="8" t="s">
        <v>8</v>
      </c>
      <c r="D22" s="113">
        <f>D16/60</f>
        <v>0.18400000000000002</v>
      </c>
      <c r="E22" s="368">
        <v>4500</v>
      </c>
      <c r="F22" s="368">
        <f t="shared" si="1"/>
        <v>828.00000000000011</v>
      </c>
      <c r="G22" s="400">
        <v>5000</v>
      </c>
      <c r="H22" s="400">
        <f t="shared" si="0"/>
        <v>920.00000000000011</v>
      </c>
      <c r="I22" s="400">
        <v>12000</v>
      </c>
      <c r="J22" s="368">
        <f t="shared" si="2"/>
        <v>2208.0000000000005</v>
      </c>
    </row>
    <row r="23" spans="1:10" ht="18.75" customHeight="1">
      <c r="A23" s="159"/>
      <c r="B23" s="57" t="s">
        <v>9</v>
      </c>
      <c r="C23" s="58"/>
      <c r="D23" s="115"/>
      <c r="E23" s="369"/>
      <c r="F23" s="368">
        <f t="shared" si="1"/>
        <v>0</v>
      </c>
      <c r="G23" s="400"/>
      <c r="H23" s="400">
        <f t="shared" si="0"/>
        <v>0</v>
      </c>
      <c r="I23" s="400"/>
      <c r="J23" s="368">
        <f t="shared" si="2"/>
        <v>0</v>
      </c>
    </row>
    <row r="24" spans="1:10" ht="18.75" customHeight="1">
      <c r="A24" s="182">
        <v>2.02</v>
      </c>
      <c r="B24" s="2" t="s">
        <v>97</v>
      </c>
      <c r="C24" s="3" t="s">
        <v>1</v>
      </c>
      <c r="D24" s="112">
        <v>46.8</v>
      </c>
      <c r="E24" s="371">
        <v>1058.3333333333335</v>
      </c>
      <c r="F24" s="367">
        <f t="shared" si="1"/>
        <v>49530.000000000007</v>
      </c>
      <c r="G24" s="403"/>
      <c r="H24" s="367">
        <f>SUBTOTAL(9,H25:H30)</f>
        <v>60060</v>
      </c>
      <c r="I24" s="403">
        <v>2000</v>
      </c>
      <c r="J24" s="367">
        <f t="shared" si="2"/>
        <v>93600</v>
      </c>
    </row>
    <row r="25" spans="1:10" ht="18.75" customHeight="1">
      <c r="A25" s="180"/>
      <c r="B25" s="7" t="s">
        <v>2</v>
      </c>
      <c r="C25" s="8"/>
      <c r="D25" s="113"/>
      <c r="E25" s="368"/>
      <c r="F25" s="368">
        <f t="shared" si="1"/>
        <v>0</v>
      </c>
      <c r="G25" s="400"/>
      <c r="H25" s="400">
        <f t="shared" si="0"/>
        <v>0</v>
      </c>
      <c r="I25" s="400"/>
      <c r="J25" s="368">
        <f t="shared" si="2"/>
        <v>0</v>
      </c>
    </row>
    <row r="26" spans="1:10" ht="18.75" customHeight="1">
      <c r="A26" s="180"/>
      <c r="B26" s="46" t="s">
        <v>3</v>
      </c>
      <c r="C26" s="8" t="s">
        <v>4</v>
      </c>
      <c r="D26" s="113">
        <f>D24/10</f>
        <v>4.68</v>
      </c>
      <c r="E26" s="368">
        <v>9500</v>
      </c>
      <c r="F26" s="368">
        <f t="shared" si="1"/>
        <v>44460</v>
      </c>
      <c r="G26" s="400">
        <v>12000</v>
      </c>
      <c r="H26" s="400">
        <f t="shared" si="0"/>
        <v>56160</v>
      </c>
      <c r="I26" s="400">
        <v>18000</v>
      </c>
      <c r="J26" s="368">
        <f t="shared" si="2"/>
        <v>84240</v>
      </c>
    </row>
    <row r="27" spans="1:10" ht="18.75" customHeight="1">
      <c r="A27" s="155"/>
      <c r="B27" s="57" t="s">
        <v>5</v>
      </c>
      <c r="C27" s="11"/>
      <c r="D27" s="116"/>
      <c r="E27" s="378"/>
      <c r="F27" s="368">
        <f t="shared" si="1"/>
        <v>0</v>
      </c>
      <c r="G27" s="400"/>
      <c r="H27" s="400">
        <f t="shared" si="0"/>
        <v>0</v>
      </c>
      <c r="I27" s="400"/>
      <c r="J27" s="368">
        <f t="shared" si="2"/>
        <v>0</v>
      </c>
    </row>
    <row r="28" spans="1:10" ht="18.75" customHeight="1">
      <c r="A28" s="180"/>
      <c r="B28" s="46"/>
      <c r="C28" s="8"/>
      <c r="D28" s="113"/>
      <c r="E28" s="368"/>
      <c r="F28" s="368">
        <f t="shared" si="1"/>
        <v>0</v>
      </c>
      <c r="G28" s="400"/>
      <c r="H28" s="400">
        <f t="shared" si="0"/>
        <v>0</v>
      </c>
      <c r="I28" s="400"/>
      <c r="J28" s="368">
        <f t="shared" si="2"/>
        <v>0</v>
      </c>
    </row>
    <row r="29" spans="1:10" ht="18.75" customHeight="1">
      <c r="A29" s="180"/>
      <c r="B29" s="7" t="s">
        <v>6</v>
      </c>
      <c r="C29" s="8"/>
      <c r="D29" s="113"/>
      <c r="E29" s="368"/>
      <c r="F29" s="368">
        <f t="shared" si="1"/>
        <v>0</v>
      </c>
      <c r="G29" s="400"/>
      <c r="H29" s="400">
        <f t="shared" si="0"/>
        <v>0</v>
      </c>
      <c r="I29" s="400"/>
      <c r="J29" s="368">
        <f t="shared" si="2"/>
        <v>0</v>
      </c>
    </row>
    <row r="30" spans="1:10" ht="18.75" customHeight="1">
      <c r="A30" s="180"/>
      <c r="B30" s="12" t="s">
        <v>7</v>
      </c>
      <c r="C30" s="8" t="s">
        <v>8</v>
      </c>
      <c r="D30" s="113">
        <f>D24/60</f>
        <v>0.77999999999999992</v>
      </c>
      <c r="E30" s="368">
        <v>6500</v>
      </c>
      <c r="F30" s="368">
        <f t="shared" si="1"/>
        <v>5069.9999999999991</v>
      </c>
      <c r="G30" s="400">
        <v>5000</v>
      </c>
      <c r="H30" s="400">
        <f t="shared" si="0"/>
        <v>3899.9999999999995</v>
      </c>
      <c r="I30" s="400">
        <v>12000</v>
      </c>
      <c r="J30" s="368">
        <f t="shared" si="2"/>
        <v>9359.9999999999982</v>
      </c>
    </row>
    <row r="31" spans="1:10" ht="18.75" customHeight="1">
      <c r="A31" s="159"/>
      <c r="B31" s="57" t="s">
        <v>9</v>
      </c>
      <c r="C31" s="58"/>
      <c r="D31" s="115"/>
      <c r="E31" s="369"/>
      <c r="F31" s="368">
        <f t="shared" si="1"/>
        <v>0</v>
      </c>
      <c r="G31" s="400"/>
      <c r="H31" s="400">
        <f t="shared" si="0"/>
        <v>0</v>
      </c>
      <c r="I31" s="400"/>
      <c r="J31" s="368">
        <f t="shared" si="2"/>
        <v>0</v>
      </c>
    </row>
    <row r="32" spans="1:10" ht="18.75" customHeight="1">
      <c r="A32" s="179">
        <v>2.0299999999999998</v>
      </c>
      <c r="B32" s="15" t="s">
        <v>96</v>
      </c>
      <c r="C32" s="34" t="s">
        <v>1</v>
      </c>
      <c r="D32" s="120">
        <f>(0.75*0.75)*4</f>
        <v>2.25</v>
      </c>
      <c r="E32" s="367">
        <v>958.33333333333337</v>
      </c>
      <c r="F32" s="367">
        <f t="shared" si="1"/>
        <v>2156.25</v>
      </c>
      <c r="G32" s="403"/>
      <c r="H32" s="367">
        <f>SUBTOTAL(9,H33:H40)</f>
        <v>2887.5</v>
      </c>
      <c r="I32" s="403">
        <v>2000</v>
      </c>
      <c r="J32" s="367">
        <f t="shared" si="2"/>
        <v>4500</v>
      </c>
    </row>
    <row r="33" spans="1:10" ht="18.75" customHeight="1">
      <c r="A33" s="180"/>
      <c r="B33" s="7" t="s">
        <v>2</v>
      </c>
      <c r="C33" s="8"/>
      <c r="D33" s="113"/>
      <c r="E33" s="368"/>
      <c r="F33" s="368">
        <f t="shared" si="1"/>
        <v>0</v>
      </c>
      <c r="G33" s="400"/>
      <c r="H33" s="400">
        <f t="shared" si="0"/>
        <v>0</v>
      </c>
      <c r="I33" s="400"/>
      <c r="J33" s="368">
        <f t="shared" si="2"/>
        <v>0</v>
      </c>
    </row>
    <row r="34" spans="1:10" ht="18.75" customHeight="1">
      <c r="A34" s="180"/>
      <c r="B34" s="46" t="s">
        <v>3</v>
      </c>
      <c r="C34" s="8" t="s">
        <v>4</v>
      </c>
      <c r="D34" s="113">
        <f>D32/10</f>
        <v>0.22500000000000001</v>
      </c>
      <c r="E34" s="368">
        <v>8500</v>
      </c>
      <c r="F34" s="368">
        <f t="shared" si="1"/>
        <v>1912.5</v>
      </c>
      <c r="G34" s="400">
        <v>12000</v>
      </c>
      <c r="H34" s="400">
        <f t="shared" si="0"/>
        <v>2700</v>
      </c>
      <c r="I34" s="400">
        <v>18000</v>
      </c>
      <c r="J34" s="368">
        <f t="shared" si="2"/>
        <v>4050</v>
      </c>
    </row>
    <row r="35" spans="1:10" ht="18.75" customHeight="1">
      <c r="A35" s="155"/>
      <c r="B35" s="57" t="s">
        <v>5</v>
      </c>
      <c r="C35" s="11"/>
      <c r="D35" s="116"/>
      <c r="E35" s="378"/>
      <c r="F35" s="368">
        <f t="shared" si="1"/>
        <v>0</v>
      </c>
      <c r="G35" s="400"/>
      <c r="H35" s="400">
        <f t="shared" si="0"/>
        <v>0</v>
      </c>
      <c r="I35" s="400"/>
      <c r="J35" s="368">
        <f t="shared" si="2"/>
        <v>0</v>
      </c>
    </row>
    <row r="36" spans="1:10" ht="18.75" customHeight="1">
      <c r="A36" s="155"/>
      <c r="B36" s="57"/>
      <c r="C36" s="11"/>
      <c r="D36" s="116"/>
      <c r="E36" s="378"/>
      <c r="F36" s="368">
        <f t="shared" si="1"/>
        <v>0</v>
      </c>
      <c r="G36" s="400"/>
      <c r="H36" s="400">
        <f t="shared" si="0"/>
        <v>0</v>
      </c>
      <c r="I36" s="400"/>
      <c r="J36" s="368">
        <f t="shared" si="2"/>
        <v>0</v>
      </c>
    </row>
    <row r="37" spans="1:10" ht="18.75" customHeight="1">
      <c r="A37" s="180"/>
      <c r="B37" s="7" t="s">
        <v>6</v>
      </c>
      <c r="C37" s="8"/>
      <c r="D37" s="113"/>
      <c r="E37" s="368"/>
      <c r="F37" s="368">
        <f t="shared" si="1"/>
        <v>0</v>
      </c>
      <c r="G37" s="400"/>
      <c r="H37" s="400">
        <f t="shared" si="0"/>
        <v>0</v>
      </c>
      <c r="I37" s="400"/>
      <c r="J37" s="368">
        <f t="shared" si="2"/>
        <v>0</v>
      </c>
    </row>
    <row r="38" spans="1:10" ht="18.75" customHeight="1">
      <c r="A38" s="180"/>
      <c r="B38" s="12" t="s">
        <v>7</v>
      </c>
      <c r="C38" s="8" t="s">
        <v>8</v>
      </c>
      <c r="D38" s="113">
        <f>D32/60</f>
        <v>3.7499999999999999E-2</v>
      </c>
      <c r="E38" s="368">
        <v>6500</v>
      </c>
      <c r="F38" s="368">
        <f t="shared" si="1"/>
        <v>243.75</v>
      </c>
      <c r="G38" s="400">
        <v>5000</v>
      </c>
      <c r="H38" s="400">
        <f t="shared" si="0"/>
        <v>187.5</v>
      </c>
      <c r="I38" s="400">
        <v>12000</v>
      </c>
      <c r="J38" s="368">
        <f t="shared" si="2"/>
        <v>450</v>
      </c>
    </row>
    <row r="39" spans="1:10" ht="18.75" customHeight="1">
      <c r="A39" s="159"/>
      <c r="B39" s="57" t="s">
        <v>9</v>
      </c>
      <c r="C39" s="58"/>
      <c r="D39" s="115"/>
      <c r="E39" s="369"/>
      <c r="F39" s="368">
        <f t="shared" si="1"/>
        <v>0</v>
      </c>
      <c r="G39" s="400"/>
      <c r="H39" s="400">
        <f t="shared" si="0"/>
        <v>0</v>
      </c>
      <c r="I39" s="400"/>
      <c r="J39" s="368">
        <f t="shared" si="2"/>
        <v>0</v>
      </c>
    </row>
    <row r="40" spans="1:10" ht="18.75" customHeight="1">
      <c r="A40" s="159"/>
      <c r="B40" s="57"/>
      <c r="C40" s="58"/>
      <c r="D40" s="110"/>
      <c r="E40" s="369"/>
      <c r="F40" s="368">
        <f t="shared" si="1"/>
        <v>0</v>
      </c>
      <c r="G40" s="400"/>
      <c r="H40" s="400">
        <f t="shared" si="0"/>
        <v>0</v>
      </c>
      <c r="I40" s="400"/>
      <c r="J40" s="368">
        <f t="shared" si="2"/>
        <v>0</v>
      </c>
    </row>
    <row r="41" spans="1:10" ht="18.75" customHeight="1">
      <c r="A41" s="149">
        <v>3</v>
      </c>
      <c r="B41" s="474" t="s">
        <v>77</v>
      </c>
      <c r="C41" s="474"/>
      <c r="D41" s="474"/>
      <c r="E41" s="372"/>
      <c r="F41" s="368">
        <f t="shared" si="1"/>
        <v>0</v>
      </c>
      <c r="G41" s="400"/>
      <c r="H41" s="400">
        <f t="shared" si="0"/>
        <v>0</v>
      </c>
      <c r="I41" s="400"/>
      <c r="J41" s="368">
        <f t="shared" si="2"/>
        <v>0</v>
      </c>
    </row>
    <row r="42" spans="1:10" ht="18.75" customHeight="1">
      <c r="A42" s="179">
        <v>3.01</v>
      </c>
      <c r="B42" s="15" t="s">
        <v>71</v>
      </c>
      <c r="C42" s="3" t="s">
        <v>1</v>
      </c>
      <c r="D42" s="112">
        <f>27.6*0.4</f>
        <v>11.040000000000001</v>
      </c>
      <c r="E42" s="371">
        <v>4619.1302564102562</v>
      </c>
      <c r="F42" s="367">
        <f t="shared" si="1"/>
        <v>50995.198030769236</v>
      </c>
      <c r="G42" s="403"/>
      <c r="H42" s="367">
        <f>SUBTOTAL(9,H43:H58)</f>
        <v>66345.191384615391</v>
      </c>
      <c r="I42" s="403">
        <v>9007.2489230769243</v>
      </c>
      <c r="J42" s="367">
        <f t="shared" si="2"/>
        <v>99440.028110769257</v>
      </c>
    </row>
    <row r="43" spans="1:10" ht="18.75" customHeight="1">
      <c r="A43" s="183"/>
      <c r="B43" s="18"/>
      <c r="C43" s="19" t="s">
        <v>10</v>
      </c>
      <c r="D43" s="130">
        <f>D42*0.05</f>
        <v>0.55200000000000005</v>
      </c>
      <c r="E43" s="373"/>
      <c r="F43" s="368">
        <f t="shared" si="1"/>
        <v>0</v>
      </c>
      <c r="G43" s="400"/>
      <c r="H43" s="400">
        <f t="shared" si="0"/>
        <v>0</v>
      </c>
      <c r="I43" s="400">
        <v>180140</v>
      </c>
      <c r="J43" s="368">
        <f t="shared" si="2"/>
        <v>99437.280000000013</v>
      </c>
    </row>
    <row r="44" spans="1:10" ht="18.75" customHeight="1">
      <c r="A44" s="184"/>
      <c r="B44" s="93" t="s">
        <v>2</v>
      </c>
      <c r="C44" s="22"/>
      <c r="D44" s="113"/>
      <c r="E44" s="374"/>
      <c r="F44" s="368">
        <f t="shared" si="1"/>
        <v>0</v>
      </c>
      <c r="G44" s="400"/>
      <c r="H44" s="400">
        <f t="shared" si="0"/>
        <v>0</v>
      </c>
      <c r="I44" s="400"/>
      <c r="J44" s="368">
        <f t="shared" si="2"/>
        <v>0</v>
      </c>
    </row>
    <row r="45" spans="1:10" ht="18.75" customHeight="1">
      <c r="A45" s="184"/>
      <c r="B45" s="94" t="s">
        <v>11</v>
      </c>
      <c r="C45" s="22" t="s">
        <v>12</v>
      </c>
      <c r="D45" s="113">
        <f>D43*(1/13)*1.57*(1440/50)</f>
        <v>1.9199409230769233</v>
      </c>
      <c r="E45" s="374">
        <v>11200</v>
      </c>
      <c r="F45" s="368">
        <f t="shared" si="1"/>
        <v>21503.338338461541</v>
      </c>
      <c r="G45" s="400">
        <v>14000</v>
      </c>
      <c r="H45" s="400">
        <f t="shared" si="0"/>
        <v>26879.172923076927</v>
      </c>
      <c r="I45" s="400">
        <v>13500</v>
      </c>
      <c r="J45" s="368">
        <f t="shared" si="2"/>
        <v>25919.202461538465</v>
      </c>
    </row>
    <row r="46" spans="1:10" ht="18.75" customHeight="1">
      <c r="A46" s="184"/>
      <c r="B46" s="94" t="s">
        <v>13</v>
      </c>
      <c r="C46" s="22" t="s">
        <v>10</v>
      </c>
      <c r="D46" s="113">
        <f>D43*(4/13)*1.57</f>
        <v>0.26665846153846157</v>
      </c>
      <c r="E46" s="374">
        <v>30500</v>
      </c>
      <c r="F46" s="368">
        <f t="shared" si="1"/>
        <v>8133.0830769230779</v>
      </c>
      <c r="G46" s="400">
        <v>25000</v>
      </c>
      <c r="H46" s="400">
        <f t="shared" si="0"/>
        <v>6666.461538461539</v>
      </c>
      <c r="I46" s="400">
        <v>40000</v>
      </c>
      <c r="J46" s="368">
        <f t="shared" si="2"/>
        <v>10666.338461538462</v>
      </c>
    </row>
    <row r="47" spans="1:10" ht="18.75" customHeight="1">
      <c r="A47" s="184"/>
      <c r="B47" s="94" t="s">
        <v>14</v>
      </c>
      <c r="C47" s="22" t="s">
        <v>10</v>
      </c>
      <c r="D47" s="113">
        <f>D43*(8/13)*1.57</f>
        <v>0.53331692307692313</v>
      </c>
      <c r="E47" s="374">
        <v>32300</v>
      </c>
      <c r="F47" s="368">
        <f t="shared" si="1"/>
        <v>17226.136615384617</v>
      </c>
      <c r="G47" s="400">
        <v>27000</v>
      </c>
      <c r="H47" s="400">
        <f t="shared" si="0"/>
        <v>14399.556923076925</v>
      </c>
      <c r="I47" s="400">
        <v>48312</v>
      </c>
      <c r="J47" s="368">
        <f t="shared" si="2"/>
        <v>25765.607187692309</v>
      </c>
    </row>
    <row r="48" spans="1:10" ht="18.75" customHeight="1">
      <c r="A48" s="184"/>
      <c r="B48" s="94" t="s">
        <v>15</v>
      </c>
      <c r="C48" s="22" t="s">
        <v>16</v>
      </c>
      <c r="D48" s="113">
        <f>D52*10</f>
        <v>0.92000000000000015</v>
      </c>
      <c r="E48" s="374">
        <v>2200</v>
      </c>
      <c r="F48" s="368">
        <f t="shared" si="1"/>
        <v>2024.0000000000002</v>
      </c>
      <c r="G48" s="400">
        <v>2000</v>
      </c>
      <c r="H48" s="400">
        <f t="shared" si="0"/>
        <v>1840.0000000000002</v>
      </c>
      <c r="I48" s="400">
        <v>2000</v>
      </c>
      <c r="J48" s="368">
        <f t="shared" si="2"/>
        <v>1840.0000000000002</v>
      </c>
    </row>
    <row r="49" spans="1:10" ht="18.75" customHeight="1">
      <c r="A49" s="153"/>
      <c r="B49" s="93" t="s">
        <v>18</v>
      </c>
      <c r="C49" s="27"/>
      <c r="D49" s="116"/>
      <c r="E49" s="381"/>
      <c r="F49" s="368">
        <f t="shared" si="1"/>
        <v>0</v>
      </c>
      <c r="G49" s="400"/>
      <c r="H49" s="400">
        <f t="shared" si="0"/>
        <v>0</v>
      </c>
      <c r="I49" s="400"/>
      <c r="J49" s="368">
        <f t="shared" si="2"/>
        <v>0</v>
      </c>
    </row>
    <row r="50" spans="1:10" ht="18.75" customHeight="1">
      <c r="A50" s="184"/>
      <c r="B50" s="94"/>
      <c r="C50" s="22"/>
      <c r="D50" s="113"/>
      <c r="E50" s="374"/>
      <c r="F50" s="368">
        <f t="shared" si="1"/>
        <v>0</v>
      </c>
      <c r="G50" s="400"/>
      <c r="H50" s="400">
        <f t="shared" si="0"/>
        <v>0</v>
      </c>
      <c r="I50" s="400"/>
      <c r="J50" s="368">
        <f t="shared" si="2"/>
        <v>0</v>
      </c>
    </row>
    <row r="51" spans="1:10" ht="18.75" customHeight="1">
      <c r="A51" s="184"/>
      <c r="B51" s="93" t="s">
        <v>19</v>
      </c>
      <c r="C51" s="22"/>
      <c r="D51" s="113"/>
      <c r="E51" s="374"/>
      <c r="F51" s="368">
        <f t="shared" si="1"/>
        <v>0</v>
      </c>
      <c r="G51" s="400"/>
      <c r="H51" s="400">
        <f t="shared" si="0"/>
        <v>0</v>
      </c>
      <c r="I51" s="400"/>
      <c r="J51" s="368">
        <f t="shared" si="2"/>
        <v>0</v>
      </c>
    </row>
    <row r="52" spans="1:10" ht="18.75" customHeight="1">
      <c r="A52" s="184"/>
      <c r="B52" s="94" t="s">
        <v>20</v>
      </c>
      <c r="C52" s="22" t="s">
        <v>21</v>
      </c>
      <c r="D52" s="113">
        <f>D43/6</f>
        <v>9.2000000000000012E-2</v>
      </c>
      <c r="E52" s="374">
        <v>5050</v>
      </c>
      <c r="F52" s="368">
        <f t="shared" si="1"/>
        <v>464.60000000000008</v>
      </c>
      <c r="G52" s="400">
        <v>50000</v>
      </c>
      <c r="H52" s="400">
        <f t="shared" si="0"/>
        <v>4600.0000000000009</v>
      </c>
      <c r="I52" s="400">
        <v>80000</v>
      </c>
      <c r="J52" s="368">
        <f t="shared" si="2"/>
        <v>7360.0000000000009</v>
      </c>
    </row>
    <row r="53" spans="1:10" ht="18.75" customHeight="1">
      <c r="A53" s="153"/>
      <c r="B53" s="93" t="s">
        <v>23</v>
      </c>
      <c r="C53" s="27"/>
      <c r="D53" s="116"/>
      <c r="E53" s="381"/>
      <c r="F53" s="368">
        <f t="shared" si="1"/>
        <v>0</v>
      </c>
      <c r="G53" s="400"/>
      <c r="H53" s="400">
        <f t="shared" si="0"/>
        <v>0</v>
      </c>
      <c r="I53" s="400"/>
      <c r="J53" s="368">
        <f t="shared" si="2"/>
        <v>0</v>
      </c>
    </row>
    <row r="54" spans="1:10" ht="18.75" customHeight="1">
      <c r="A54" s="184"/>
      <c r="B54" s="94"/>
      <c r="C54" s="22"/>
      <c r="D54" s="113"/>
      <c r="E54" s="374"/>
      <c r="F54" s="368">
        <f t="shared" si="1"/>
        <v>0</v>
      </c>
      <c r="G54" s="400"/>
      <c r="H54" s="400">
        <f t="shared" si="0"/>
        <v>0</v>
      </c>
      <c r="I54" s="400"/>
      <c r="J54" s="368">
        <f t="shared" si="2"/>
        <v>0</v>
      </c>
    </row>
    <row r="55" spans="1:10" ht="18.75" customHeight="1">
      <c r="A55" s="184"/>
      <c r="B55" s="93" t="s">
        <v>6</v>
      </c>
      <c r="C55" s="22"/>
      <c r="D55" s="113"/>
      <c r="E55" s="374"/>
      <c r="F55" s="368">
        <f t="shared" si="1"/>
        <v>0</v>
      </c>
      <c r="G55" s="400"/>
      <c r="H55" s="400">
        <f t="shared" si="0"/>
        <v>0</v>
      </c>
      <c r="I55" s="400"/>
      <c r="J55" s="368">
        <f t="shared" si="2"/>
        <v>0</v>
      </c>
    </row>
    <row r="56" spans="1:10" ht="18.75" customHeight="1">
      <c r="A56" s="184"/>
      <c r="B56" s="94" t="s">
        <v>24</v>
      </c>
      <c r="C56" s="22" t="s">
        <v>21</v>
      </c>
      <c r="D56" s="113">
        <f>(D43/6)*2</f>
        <v>0.18400000000000002</v>
      </c>
      <c r="E56" s="374">
        <v>1500</v>
      </c>
      <c r="F56" s="368">
        <f t="shared" si="1"/>
        <v>276.00000000000006</v>
      </c>
      <c r="G56" s="400">
        <v>10000</v>
      </c>
      <c r="H56" s="400">
        <f t="shared" si="0"/>
        <v>1840.0000000000002</v>
      </c>
      <c r="I56" s="400">
        <v>90000</v>
      </c>
      <c r="J56" s="368">
        <f t="shared" si="2"/>
        <v>16560.000000000004</v>
      </c>
    </row>
    <row r="57" spans="1:10" ht="18.75" customHeight="1">
      <c r="A57" s="184"/>
      <c r="B57" s="94" t="s">
        <v>25</v>
      </c>
      <c r="C57" s="22" t="s">
        <v>21</v>
      </c>
      <c r="D57" s="113">
        <f>(D43/6)*18</f>
        <v>1.6560000000000001</v>
      </c>
      <c r="E57" s="374">
        <v>780</v>
      </c>
      <c r="F57" s="368">
        <f t="shared" si="1"/>
        <v>1291.68</v>
      </c>
      <c r="G57" s="400">
        <v>5000</v>
      </c>
      <c r="H57" s="400">
        <f t="shared" si="0"/>
        <v>8280</v>
      </c>
      <c r="I57" s="400">
        <v>5730</v>
      </c>
      <c r="J57" s="368">
        <f t="shared" si="2"/>
        <v>9488.880000000001</v>
      </c>
    </row>
    <row r="58" spans="1:10" ht="18.75" customHeight="1">
      <c r="A58" s="184"/>
      <c r="B58" s="94" t="s">
        <v>26</v>
      </c>
      <c r="C58" s="22" t="s">
        <v>21</v>
      </c>
      <c r="D58" s="113">
        <f>D52</f>
        <v>9.2000000000000012E-2</v>
      </c>
      <c r="E58" s="374">
        <v>830</v>
      </c>
      <c r="F58" s="368">
        <f t="shared" si="1"/>
        <v>76.360000000000014</v>
      </c>
      <c r="G58" s="400">
        <v>20000</v>
      </c>
      <c r="H58" s="400">
        <f t="shared" si="0"/>
        <v>1840.0000000000002</v>
      </c>
      <c r="I58" s="400">
        <v>20000</v>
      </c>
      <c r="J58" s="368">
        <f t="shared" si="2"/>
        <v>1840.0000000000002</v>
      </c>
    </row>
    <row r="59" spans="1:10" ht="18.75" customHeight="1">
      <c r="A59" s="153"/>
      <c r="B59" s="93" t="s">
        <v>27</v>
      </c>
      <c r="C59" s="27"/>
      <c r="D59" s="116"/>
      <c r="E59" s="381"/>
      <c r="F59" s="368">
        <f t="shared" si="1"/>
        <v>0</v>
      </c>
      <c r="G59" s="400"/>
      <c r="H59" s="400">
        <f t="shared" si="0"/>
        <v>0</v>
      </c>
      <c r="I59" s="400"/>
      <c r="J59" s="368">
        <f t="shared" si="2"/>
        <v>0</v>
      </c>
    </row>
    <row r="60" spans="1:10" ht="18.75" customHeight="1">
      <c r="A60" s="179">
        <v>3.02</v>
      </c>
      <c r="B60" s="15" t="s">
        <v>98</v>
      </c>
      <c r="C60" s="3" t="s">
        <v>1</v>
      </c>
      <c r="D60" s="112">
        <f>(0.75*0.75)*4</f>
        <v>2.25</v>
      </c>
      <c r="E60" s="371">
        <v>4619.1302564102562</v>
      </c>
      <c r="F60" s="367">
        <f t="shared" si="1"/>
        <v>10393.043076923077</v>
      </c>
      <c r="G60" s="403"/>
      <c r="H60" s="367">
        <f>SUBTOTAL(9,H61:H76)</f>
        <v>13521.438461538462</v>
      </c>
      <c r="I60" s="403">
        <v>8522.81558974359</v>
      </c>
      <c r="J60" s="367">
        <f t="shared" si="2"/>
        <v>19176.335076923078</v>
      </c>
    </row>
    <row r="61" spans="1:10" ht="18.75" customHeight="1">
      <c r="A61" s="183"/>
      <c r="B61" s="18"/>
      <c r="C61" s="19" t="s">
        <v>10</v>
      </c>
      <c r="D61" s="130">
        <f>D60*0.05</f>
        <v>0.1125</v>
      </c>
      <c r="E61" s="373"/>
      <c r="F61" s="368">
        <f t="shared" si="1"/>
        <v>0</v>
      </c>
      <c r="G61" s="400"/>
      <c r="H61" s="400">
        <f t="shared" si="0"/>
        <v>0</v>
      </c>
      <c r="I61" s="400">
        <v>170454</v>
      </c>
      <c r="J61" s="368">
        <f t="shared" si="2"/>
        <v>19176.075000000001</v>
      </c>
    </row>
    <row r="62" spans="1:10" ht="18.75" customHeight="1">
      <c r="A62" s="184"/>
      <c r="B62" s="93" t="s">
        <v>2</v>
      </c>
      <c r="C62" s="22"/>
      <c r="D62" s="113"/>
      <c r="E62" s="374"/>
      <c r="F62" s="368">
        <f t="shared" si="1"/>
        <v>0</v>
      </c>
      <c r="G62" s="400"/>
      <c r="H62" s="400">
        <f t="shared" si="0"/>
        <v>0</v>
      </c>
      <c r="I62" s="400"/>
      <c r="J62" s="368">
        <f t="shared" si="2"/>
        <v>0</v>
      </c>
    </row>
    <row r="63" spans="1:10" ht="18.75" customHeight="1">
      <c r="A63" s="184"/>
      <c r="B63" s="94" t="s">
        <v>11</v>
      </c>
      <c r="C63" s="22" t="s">
        <v>12</v>
      </c>
      <c r="D63" s="113">
        <f>D61*(1/13)*1.57*(1440/50)</f>
        <v>0.39129230769230772</v>
      </c>
      <c r="E63" s="374">
        <v>11200</v>
      </c>
      <c r="F63" s="368">
        <f t="shared" si="1"/>
        <v>4382.4738461538464</v>
      </c>
      <c r="G63" s="400">
        <v>14000</v>
      </c>
      <c r="H63" s="400">
        <f t="shared" si="0"/>
        <v>5478.0923076923082</v>
      </c>
      <c r="I63" s="400">
        <v>13500</v>
      </c>
      <c r="J63" s="368">
        <f t="shared" si="2"/>
        <v>5282.4461538461546</v>
      </c>
    </row>
    <row r="64" spans="1:10" ht="18.75" customHeight="1">
      <c r="A64" s="184"/>
      <c r="B64" s="94" t="s">
        <v>13</v>
      </c>
      <c r="C64" s="22" t="s">
        <v>10</v>
      </c>
      <c r="D64" s="113">
        <f>D61*(4/13)*1.57</f>
        <v>5.434615384615385E-2</v>
      </c>
      <c r="E64" s="374">
        <v>30500</v>
      </c>
      <c r="F64" s="368">
        <f t="shared" si="1"/>
        <v>1657.5576923076924</v>
      </c>
      <c r="G64" s="400">
        <v>25000</v>
      </c>
      <c r="H64" s="400">
        <f t="shared" si="0"/>
        <v>1358.6538461538462</v>
      </c>
      <c r="I64" s="400">
        <v>40000</v>
      </c>
      <c r="J64" s="368">
        <f t="shared" si="2"/>
        <v>2173.8461538461538</v>
      </c>
    </row>
    <row r="65" spans="1:10" ht="18.75" customHeight="1">
      <c r="A65" s="184"/>
      <c r="B65" s="94" t="s">
        <v>14</v>
      </c>
      <c r="C65" s="22" t="s">
        <v>10</v>
      </c>
      <c r="D65" s="113">
        <f>D61*(8/13)*1.57</f>
        <v>0.1086923076923077</v>
      </c>
      <c r="E65" s="374">
        <v>32300</v>
      </c>
      <c r="F65" s="368">
        <f t="shared" si="1"/>
        <v>3510.7615384615387</v>
      </c>
      <c r="G65" s="400">
        <v>27000</v>
      </c>
      <c r="H65" s="400">
        <f t="shared" si="0"/>
        <v>2934.6923076923081</v>
      </c>
      <c r="I65" s="400">
        <v>48312</v>
      </c>
      <c r="J65" s="368">
        <f t="shared" si="2"/>
        <v>5251.1427692307698</v>
      </c>
    </row>
    <row r="66" spans="1:10" ht="18.75" customHeight="1">
      <c r="A66" s="184"/>
      <c r="B66" s="94" t="s">
        <v>15</v>
      </c>
      <c r="C66" s="22" t="s">
        <v>16</v>
      </c>
      <c r="D66" s="113">
        <f>D70*10</f>
        <v>0.1875</v>
      </c>
      <c r="E66" s="374">
        <v>2200</v>
      </c>
      <c r="F66" s="368">
        <f t="shared" si="1"/>
        <v>412.5</v>
      </c>
      <c r="G66" s="400">
        <v>2000</v>
      </c>
      <c r="H66" s="400">
        <f t="shared" si="0"/>
        <v>375</v>
      </c>
      <c r="I66" s="400">
        <v>2000</v>
      </c>
      <c r="J66" s="368">
        <f t="shared" si="2"/>
        <v>375</v>
      </c>
    </row>
    <row r="67" spans="1:10" ht="18.75" customHeight="1">
      <c r="A67" s="153"/>
      <c r="B67" s="93" t="s">
        <v>18</v>
      </c>
      <c r="C67" s="27"/>
      <c r="D67" s="116"/>
      <c r="E67" s="381"/>
      <c r="F67" s="368">
        <f t="shared" si="1"/>
        <v>0</v>
      </c>
      <c r="G67" s="400"/>
      <c r="H67" s="400">
        <f t="shared" si="0"/>
        <v>0</v>
      </c>
      <c r="I67" s="400"/>
      <c r="J67" s="368">
        <f t="shared" si="2"/>
        <v>0</v>
      </c>
    </row>
    <row r="68" spans="1:10" ht="18.75" customHeight="1">
      <c r="A68" s="184"/>
      <c r="B68" s="94"/>
      <c r="C68" s="22"/>
      <c r="D68" s="113"/>
      <c r="E68" s="374"/>
      <c r="F68" s="368">
        <f t="shared" si="1"/>
        <v>0</v>
      </c>
      <c r="G68" s="400"/>
      <c r="H68" s="400">
        <f t="shared" si="0"/>
        <v>0</v>
      </c>
      <c r="I68" s="400"/>
      <c r="J68" s="368">
        <f t="shared" si="2"/>
        <v>0</v>
      </c>
    </row>
    <row r="69" spans="1:10" ht="18.75" customHeight="1">
      <c r="A69" s="184"/>
      <c r="B69" s="93" t="s">
        <v>19</v>
      </c>
      <c r="C69" s="22"/>
      <c r="D69" s="113"/>
      <c r="E69" s="374"/>
      <c r="F69" s="368">
        <f t="shared" si="1"/>
        <v>0</v>
      </c>
      <c r="G69" s="400"/>
      <c r="H69" s="400">
        <f t="shared" si="0"/>
        <v>0</v>
      </c>
      <c r="I69" s="400"/>
      <c r="J69" s="368">
        <f t="shared" si="2"/>
        <v>0</v>
      </c>
    </row>
    <row r="70" spans="1:10" ht="18.75" customHeight="1">
      <c r="A70" s="184"/>
      <c r="B70" s="94" t="s">
        <v>20</v>
      </c>
      <c r="C70" s="22" t="s">
        <v>21</v>
      </c>
      <c r="D70" s="113">
        <f>D61/6</f>
        <v>1.8749999999999999E-2</v>
      </c>
      <c r="E70" s="374">
        <v>5050</v>
      </c>
      <c r="F70" s="368">
        <f t="shared" si="1"/>
        <v>94.6875</v>
      </c>
      <c r="G70" s="400">
        <v>50000</v>
      </c>
      <c r="H70" s="400">
        <f t="shared" si="0"/>
        <v>937.5</v>
      </c>
      <c r="I70" s="400">
        <v>80000</v>
      </c>
      <c r="J70" s="368">
        <f t="shared" si="2"/>
        <v>1500</v>
      </c>
    </row>
    <row r="71" spans="1:10" ht="18.75" customHeight="1">
      <c r="A71" s="153"/>
      <c r="B71" s="93" t="s">
        <v>23</v>
      </c>
      <c r="C71" s="27"/>
      <c r="D71" s="116"/>
      <c r="E71" s="381"/>
      <c r="F71" s="368">
        <f t="shared" si="1"/>
        <v>0</v>
      </c>
      <c r="G71" s="400"/>
      <c r="H71" s="400">
        <f t="shared" ref="H71:H134" si="3">D71*G71</f>
        <v>0</v>
      </c>
      <c r="I71" s="400"/>
      <c r="J71" s="368">
        <f t="shared" si="2"/>
        <v>0</v>
      </c>
    </row>
    <row r="72" spans="1:10" ht="18.75" customHeight="1">
      <c r="A72" s="184"/>
      <c r="B72" s="94"/>
      <c r="C72" s="22"/>
      <c r="D72" s="113"/>
      <c r="E72" s="374"/>
      <c r="F72" s="368">
        <f t="shared" ref="F72:F135" si="4">D72*E72</f>
        <v>0</v>
      </c>
      <c r="G72" s="400"/>
      <c r="H72" s="400">
        <f t="shared" si="3"/>
        <v>0</v>
      </c>
      <c r="I72" s="400"/>
      <c r="J72" s="368">
        <f t="shared" ref="J72:J135" si="5">D72*I72</f>
        <v>0</v>
      </c>
    </row>
    <row r="73" spans="1:10" ht="18.75" customHeight="1">
      <c r="A73" s="184"/>
      <c r="B73" s="93" t="s">
        <v>6</v>
      </c>
      <c r="C73" s="22"/>
      <c r="D73" s="113"/>
      <c r="E73" s="374"/>
      <c r="F73" s="368">
        <f t="shared" si="4"/>
        <v>0</v>
      </c>
      <c r="G73" s="400"/>
      <c r="H73" s="400">
        <f t="shared" si="3"/>
        <v>0</v>
      </c>
      <c r="I73" s="400"/>
      <c r="J73" s="368">
        <f t="shared" si="5"/>
        <v>0</v>
      </c>
    </row>
    <row r="74" spans="1:10" ht="18.75" customHeight="1">
      <c r="A74" s="184"/>
      <c r="B74" s="94" t="s">
        <v>24</v>
      </c>
      <c r="C74" s="22" t="s">
        <v>21</v>
      </c>
      <c r="D74" s="113">
        <f>(D61/6)*2</f>
        <v>3.7499999999999999E-2</v>
      </c>
      <c r="E74" s="374">
        <v>1500</v>
      </c>
      <c r="F74" s="368">
        <f t="shared" si="4"/>
        <v>56.25</v>
      </c>
      <c r="G74" s="400">
        <v>10000</v>
      </c>
      <c r="H74" s="400">
        <f t="shared" si="3"/>
        <v>375</v>
      </c>
      <c r="I74" s="400">
        <v>40909</v>
      </c>
      <c r="J74" s="368">
        <f t="shared" si="5"/>
        <v>1534.0874999999999</v>
      </c>
    </row>
    <row r="75" spans="1:10" ht="18.75" customHeight="1">
      <c r="A75" s="184"/>
      <c r="B75" s="94" t="s">
        <v>25</v>
      </c>
      <c r="C75" s="22" t="s">
        <v>21</v>
      </c>
      <c r="D75" s="113">
        <f>(D61/6)*18</f>
        <v>0.33749999999999997</v>
      </c>
      <c r="E75" s="374">
        <v>780</v>
      </c>
      <c r="F75" s="368">
        <f t="shared" si="4"/>
        <v>263.25</v>
      </c>
      <c r="G75" s="400">
        <v>5000</v>
      </c>
      <c r="H75" s="400">
        <f t="shared" si="3"/>
        <v>1687.4999999999998</v>
      </c>
      <c r="I75" s="400">
        <v>7955</v>
      </c>
      <c r="J75" s="368">
        <f t="shared" si="5"/>
        <v>2684.8124999999995</v>
      </c>
    </row>
    <row r="76" spans="1:10" ht="18.75" customHeight="1">
      <c r="A76" s="184"/>
      <c r="B76" s="94" t="s">
        <v>26</v>
      </c>
      <c r="C76" s="22" t="s">
        <v>21</v>
      </c>
      <c r="D76" s="113">
        <f>D70</f>
        <v>1.8749999999999999E-2</v>
      </c>
      <c r="E76" s="374">
        <v>830</v>
      </c>
      <c r="F76" s="368">
        <f t="shared" si="4"/>
        <v>15.5625</v>
      </c>
      <c r="G76" s="400">
        <v>20000</v>
      </c>
      <c r="H76" s="400">
        <f t="shared" si="3"/>
        <v>375</v>
      </c>
      <c r="I76" s="400">
        <v>20000</v>
      </c>
      <c r="J76" s="368">
        <f t="shared" si="5"/>
        <v>375</v>
      </c>
    </row>
    <row r="77" spans="1:10" ht="18.75" customHeight="1">
      <c r="A77" s="153"/>
      <c r="B77" s="93" t="s">
        <v>27</v>
      </c>
      <c r="C77" s="27"/>
      <c r="D77" s="116"/>
      <c r="E77" s="381"/>
      <c r="F77" s="368">
        <f t="shared" si="4"/>
        <v>0</v>
      </c>
      <c r="G77" s="400"/>
      <c r="H77" s="400">
        <f t="shared" si="3"/>
        <v>0</v>
      </c>
      <c r="I77" s="400"/>
      <c r="J77" s="368">
        <f t="shared" si="5"/>
        <v>0</v>
      </c>
    </row>
    <row r="78" spans="1:10" ht="18.75" customHeight="1">
      <c r="A78" s="153"/>
      <c r="B78" s="93"/>
      <c r="C78" s="27"/>
      <c r="D78" s="116"/>
      <c r="E78" s="381"/>
      <c r="F78" s="368">
        <f t="shared" si="4"/>
        <v>0</v>
      </c>
      <c r="G78" s="400"/>
      <c r="H78" s="400">
        <f t="shared" si="3"/>
        <v>0</v>
      </c>
      <c r="I78" s="400"/>
      <c r="J78" s="368">
        <f t="shared" si="5"/>
        <v>0</v>
      </c>
    </row>
    <row r="79" spans="1:10" ht="18.75" customHeight="1">
      <c r="A79" s="153">
        <v>4</v>
      </c>
      <c r="B79" s="475" t="s">
        <v>82</v>
      </c>
      <c r="C79" s="475"/>
      <c r="D79" s="475"/>
      <c r="E79" s="376"/>
      <c r="F79" s="368">
        <f t="shared" si="4"/>
        <v>0</v>
      </c>
      <c r="G79" s="400"/>
      <c r="H79" s="400">
        <f t="shared" si="3"/>
        <v>0</v>
      </c>
      <c r="I79" s="400"/>
      <c r="J79" s="368">
        <f t="shared" si="5"/>
        <v>0</v>
      </c>
    </row>
    <row r="80" spans="1:10" ht="18.75" customHeight="1">
      <c r="A80" s="179">
        <v>4.01</v>
      </c>
      <c r="B80" s="95" t="s">
        <v>83</v>
      </c>
      <c r="C80" s="65" t="s">
        <v>50</v>
      </c>
      <c r="D80" s="120">
        <f>((0.75*0.2)*4)*4</f>
        <v>2.4000000000000004</v>
      </c>
      <c r="E80" s="375">
        <v>10724.305555555555</v>
      </c>
      <c r="F80" s="367">
        <f t="shared" si="4"/>
        <v>25738.333333333336</v>
      </c>
      <c r="G80" s="403"/>
      <c r="H80" s="367">
        <f>SUBTOTAL(9,H81:H89)</f>
        <v>31740.000000000004</v>
      </c>
      <c r="I80" s="403">
        <v>9023.6111111111095</v>
      </c>
      <c r="J80" s="367">
        <f t="shared" si="5"/>
        <v>21656.666666666664</v>
      </c>
    </row>
    <row r="81" spans="1:10" ht="18.75" customHeight="1">
      <c r="A81" s="184"/>
      <c r="B81" s="93" t="s">
        <v>2</v>
      </c>
      <c r="C81" s="22"/>
      <c r="D81" s="109"/>
      <c r="E81" s="374"/>
      <c r="F81" s="368">
        <f t="shared" si="4"/>
        <v>0</v>
      </c>
      <c r="G81" s="400"/>
      <c r="H81" s="400">
        <f t="shared" si="3"/>
        <v>0</v>
      </c>
      <c r="I81" s="400"/>
      <c r="J81" s="368">
        <f t="shared" si="5"/>
        <v>0</v>
      </c>
    </row>
    <row r="82" spans="1:10" ht="18.75" customHeight="1">
      <c r="A82" s="184"/>
      <c r="B82" s="94" t="s">
        <v>84</v>
      </c>
      <c r="C82" s="22" t="s">
        <v>85</v>
      </c>
      <c r="D82" s="113">
        <f>D80/(2.4*1.2)/2</f>
        <v>0.41666666666666674</v>
      </c>
      <c r="E82" s="374">
        <v>3500</v>
      </c>
      <c r="F82" s="368">
        <f t="shared" si="4"/>
        <v>1458.3333333333335</v>
      </c>
      <c r="G82" s="400">
        <v>30000</v>
      </c>
      <c r="H82" s="400">
        <f t="shared" si="3"/>
        <v>12500.000000000002</v>
      </c>
      <c r="I82" s="400">
        <v>25000</v>
      </c>
      <c r="J82" s="368">
        <f t="shared" si="5"/>
        <v>10416.666666666668</v>
      </c>
    </row>
    <row r="83" spans="1:10" ht="18.75" customHeight="1">
      <c r="A83" s="184"/>
      <c r="B83" s="94" t="s">
        <v>86</v>
      </c>
      <c r="C83" s="22" t="s">
        <v>44</v>
      </c>
      <c r="D83" s="113">
        <f>D80*1.5</f>
        <v>3.6000000000000005</v>
      </c>
      <c r="E83" s="374">
        <v>5000</v>
      </c>
      <c r="F83" s="368">
        <f t="shared" si="4"/>
        <v>18000.000000000004</v>
      </c>
      <c r="G83" s="400">
        <v>4000</v>
      </c>
      <c r="H83" s="400">
        <f t="shared" si="3"/>
        <v>14400.000000000002</v>
      </c>
      <c r="I83" s="400">
        <v>1500</v>
      </c>
      <c r="J83" s="368">
        <f t="shared" si="5"/>
        <v>5400.0000000000009</v>
      </c>
    </row>
    <row r="84" spans="1:10" ht="18.75" customHeight="1">
      <c r="A84" s="180"/>
      <c r="B84" s="94" t="s">
        <v>87</v>
      </c>
      <c r="C84" s="22" t="s">
        <v>88</v>
      </c>
      <c r="D84" s="113">
        <f>D80*0.25</f>
        <v>0.60000000000000009</v>
      </c>
      <c r="E84" s="374">
        <v>2200</v>
      </c>
      <c r="F84" s="368">
        <f t="shared" si="4"/>
        <v>1320.0000000000002</v>
      </c>
      <c r="G84" s="400">
        <v>2200</v>
      </c>
      <c r="H84" s="400">
        <f t="shared" si="3"/>
        <v>1320.0000000000002</v>
      </c>
      <c r="I84" s="400">
        <v>2000</v>
      </c>
      <c r="J84" s="368">
        <f t="shared" si="5"/>
        <v>1200.0000000000002</v>
      </c>
    </row>
    <row r="85" spans="1:10" ht="18.75" customHeight="1">
      <c r="A85" s="180"/>
      <c r="B85" s="93" t="s">
        <v>89</v>
      </c>
      <c r="C85" s="27"/>
      <c r="D85" s="116"/>
      <c r="E85" s="381"/>
      <c r="F85" s="368">
        <f t="shared" si="4"/>
        <v>0</v>
      </c>
      <c r="G85" s="400"/>
      <c r="H85" s="400">
        <f t="shared" si="3"/>
        <v>0</v>
      </c>
      <c r="I85" s="400"/>
      <c r="J85" s="368">
        <f t="shared" si="5"/>
        <v>0</v>
      </c>
    </row>
    <row r="86" spans="1:10" ht="18.75" customHeight="1">
      <c r="A86" s="180"/>
      <c r="B86" s="94"/>
      <c r="C86" s="22"/>
      <c r="D86" s="113"/>
      <c r="E86" s="374"/>
      <c r="F86" s="368">
        <f t="shared" si="4"/>
        <v>0</v>
      </c>
      <c r="G86" s="400"/>
      <c r="H86" s="400">
        <f t="shared" si="3"/>
        <v>0</v>
      </c>
      <c r="I86" s="400"/>
      <c r="J86" s="368">
        <f t="shared" si="5"/>
        <v>0</v>
      </c>
    </row>
    <row r="87" spans="1:10" ht="18.75" customHeight="1">
      <c r="A87" s="181"/>
      <c r="B87" s="93" t="s">
        <v>6</v>
      </c>
      <c r="C87" s="22"/>
      <c r="D87" s="113"/>
      <c r="E87" s="374"/>
      <c r="F87" s="368">
        <f t="shared" si="4"/>
        <v>0</v>
      </c>
      <c r="G87" s="400"/>
      <c r="H87" s="400">
        <f t="shared" si="3"/>
        <v>0</v>
      </c>
      <c r="I87" s="400"/>
      <c r="J87" s="368">
        <f t="shared" si="5"/>
        <v>0</v>
      </c>
    </row>
    <row r="88" spans="1:10" ht="18.75" customHeight="1">
      <c r="A88" s="181"/>
      <c r="B88" s="94" t="s">
        <v>90</v>
      </c>
      <c r="C88" s="22" t="s">
        <v>21</v>
      </c>
      <c r="D88" s="113">
        <f>D80/15</f>
        <v>0.16000000000000003</v>
      </c>
      <c r="E88" s="374">
        <v>15000</v>
      </c>
      <c r="F88" s="368">
        <f t="shared" si="4"/>
        <v>2400.0000000000005</v>
      </c>
      <c r="G88" s="400">
        <v>12000</v>
      </c>
      <c r="H88" s="400">
        <f t="shared" si="3"/>
        <v>1920.0000000000005</v>
      </c>
      <c r="I88" s="400">
        <v>15000</v>
      </c>
      <c r="J88" s="368">
        <f t="shared" si="5"/>
        <v>2400.0000000000005</v>
      </c>
    </row>
    <row r="89" spans="1:10" ht="18.75" customHeight="1">
      <c r="A89" s="181"/>
      <c r="B89" s="94" t="s">
        <v>25</v>
      </c>
      <c r="C89" s="22" t="s">
        <v>21</v>
      </c>
      <c r="D89" s="113">
        <f>D88*2</f>
        <v>0.32000000000000006</v>
      </c>
      <c r="E89" s="374">
        <v>8000</v>
      </c>
      <c r="F89" s="368">
        <f t="shared" si="4"/>
        <v>2560.0000000000005</v>
      </c>
      <c r="G89" s="400">
        <v>5000</v>
      </c>
      <c r="H89" s="400">
        <f t="shared" si="3"/>
        <v>1600.0000000000002</v>
      </c>
      <c r="I89" s="400">
        <v>7000</v>
      </c>
      <c r="J89" s="368">
        <f t="shared" si="5"/>
        <v>2240.0000000000005</v>
      </c>
    </row>
    <row r="90" spans="1:10" ht="18.75" customHeight="1">
      <c r="A90" s="184"/>
      <c r="B90" s="93" t="s">
        <v>91</v>
      </c>
      <c r="C90" s="27"/>
      <c r="D90" s="117"/>
      <c r="E90" s="381"/>
      <c r="F90" s="368">
        <f t="shared" si="4"/>
        <v>0</v>
      </c>
      <c r="G90" s="400"/>
      <c r="H90" s="400">
        <f t="shared" si="3"/>
        <v>0</v>
      </c>
      <c r="I90" s="400"/>
      <c r="J90" s="368">
        <f t="shared" si="5"/>
        <v>0</v>
      </c>
    </row>
    <row r="91" spans="1:10" ht="18.75" customHeight="1">
      <c r="A91" s="179">
        <v>4.0199999999999996</v>
      </c>
      <c r="B91" s="95" t="s">
        <v>118</v>
      </c>
      <c r="C91" s="65" t="s">
        <v>50</v>
      </c>
      <c r="D91" s="120">
        <f>((1.05*0.3)*4)*4</f>
        <v>5.04</v>
      </c>
      <c r="E91" s="375">
        <v>7817.3611111111113</v>
      </c>
      <c r="F91" s="367">
        <f t="shared" si="4"/>
        <v>39399.5</v>
      </c>
      <c r="G91" s="403"/>
      <c r="H91" s="367">
        <f>SUBTOTAL(9,H92:H100)</f>
        <v>66654</v>
      </c>
      <c r="I91" s="403">
        <v>9023.6111111111113</v>
      </c>
      <c r="J91" s="367">
        <f t="shared" si="5"/>
        <v>45479</v>
      </c>
    </row>
    <row r="92" spans="1:10" ht="18.75" customHeight="1">
      <c r="A92" s="184"/>
      <c r="B92" s="93" t="s">
        <v>2</v>
      </c>
      <c r="C92" s="22"/>
      <c r="D92" s="109"/>
      <c r="E92" s="374"/>
      <c r="F92" s="368">
        <f t="shared" si="4"/>
        <v>0</v>
      </c>
      <c r="G92" s="400"/>
      <c r="H92" s="400">
        <f t="shared" si="3"/>
        <v>0</v>
      </c>
      <c r="I92" s="400"/>
      <c r="J92" s="368">
        <f t="shared" si="5"/>
        <v>0</v>
      </c>
    </row>
    <row r="93" spans="1:10" ht="18.75" customHeight="1">
      <c r="A93" s="184"/>
      <c r="B93" s="94" t="s">
        <v>84</v>
      </c>
      <c r="C93" s="22" t="s">
        <v>85</v>
      </c>
      <c r="D93" s="113">
        <f>D91/(2.4*1.2)/2</f>
        <v>0.875</v>
      </c>
      <c r="E93" s="374">
        <v>2500</v>
      </c>
      <c r="F93" s="368">
        <f t="shared" si="4"/>
        <v>2187.5</v>
      </c>
      <c r="G93" s="400">
        <v>30000</v>
      </c>
      <c r="H93" s="400">
        <f t="shared" si="3"/>
        <v>26250</v>
      </c>
      <c r="I93" s="400">
        <v>25000</v>
      </c>
      <c r="J93" s="368">
        <f t="shared" si="5"/>
        <v>21875</v>
      </c>
    </row>
    <row r="94" spans="1:10" ht="18.75" customHeight="1">
      <c r="A94" s="184"/>
      <c r="B94" s="94" t="s">
        <v>86</v>
      </c>
      <c r="C94" s="22" t="s">
        <v>44</v>
      </c>
      <c r="D94" s="113">
        <f>D91*1.5</f>
        <v>7.5600000000000005</v>
      </c>
      <c r="E94" s="374">
        <v>3000</v>
      </c>
      <c r="F94" s="368">
        <f t="shared" si="4"/>
        <v>22680</v>
      </c>
      <c r="G94" s="400">
        <v>4000</v>
      </c>
      <c r="H94" s="400">
        <f t="shared" si="3"/>
        <v>30240.000000000004</v>
      </c>
      <c r="I94" s="400">
        <v>1500</v>
      </c>
      <c r="J94" s="368">
        <f t="shared" si="5"/>
        <v>11340</v>
      </c>
    </row>
    <row r="95" spans="1:10" ht="18.75" customHeight="1">
      <c r="A95" s="180"/>
      <c r="B95" s="94" t="s">
        <v>87</v>
      </c>
      <c r="C95" s="22" t="s">
        <v>88</v>
      </c>
      <c r="D95" s="113">
        <f>D91*0.25</f>
        <v>1.26</v>
      </c>
      <c r="E95" s="374">
        <v>2200</v>
      </c>
      <c r="F95" s="368">
        <f t="shared" si="4"/>
        <v>2772</v>
      </c>
      <c r="G95" s="400">
        <v>2200</v>
      </c>
      <c r="H95" s="400">
        <f t="shared" si="3"/>
        <v>2772</v>
      </c>
      <c r="I95" s="400">
        <v>2000</v>
      </c>
      <c r="J95" s="368">
        <f t="shared" si="5"/>
        <v>2520</v>
      </c>
    </row>
    <row r="96" spans="1:10" ht="18.75" customHeight="1">
      <c r="A96" s="180"/>
      <c r="B96" s="93" t="s">
        <v>89</v>
      </c>
      <c r="C96" s="27"/>
      <c r="D96" s="116"/>
      <c r="E96" s="381"/>
      <c r="F96" s="368">
        <f t="shared" si="4"/>
        <v>0</v>
      </c>
      <c r="G96" s="400"/>
      <c r="H96" s="400">
        <f t="shared" si="3"/>
        <v>0</v>
      </c>
      <c r="I96" s="400"/>
      <c r="J96" s="368">
        <f t="shared" si="5"/>
        <v>0</v>
      </c>
    </row>
    <row r="97" spans="1:10" ht="18.75" customHeight="1">
      <c r="A97" s="180"/>
      <c r="B97" s="94"/>
      <c r="C97" s="22"/>
      <c r="D97" s="113"/>
      <c r="E97" s="374"/>
      <c r="F97" s="368">
        <f t="shared" si="4"/>
        <v>0</v>
      </c>
      <c r="G97" s="400"/>
      <c r="H97" s="400">
        <f t="shared" si="3"/>
        <v>0</v>
      </c>
      <c r="I97" s="400"/>
      <c r="J97" s="368">
        <f t="shared" si="5"/>
        <v>0</v>
      </c>
    </row>
    <row r="98" spans="1:10" ht="18.75" customHeight="1">
      <c r="A98" s="181"/>
      <c r="B98" s="93" t="s">
        <v>6</v>
      </c>
      <c r="C98" s="22"/>
      <c r="D98" s="113"/>
      <c r="E98" s="374"/>
      <c r="F98" s="368">
        <f t="shared" si="4"/>
        <v>0</v>
      </c>
      <c r="G98" s="400"/>
      <c r="H98" s="400">
        <f t="shared" si="3"/>
        <v>0</v>
      </c>
      <c r="I98" s="400"/>
      <c r="J98" s="368">
        <f t="shared" si="5"/>
        <v>0</v>
      </c>
    </row>
    <row r="99" spans="1:10" ht="18.75" customHeight="1">
      <c r="A99" s="181"/>
      <c r="B99" s="94" t="s">
        <v>90</v>
      </c>
      <c r="C99" s="22" t="s">
        <v>21</v>
      </c>
      <c r="D99" s="113">
        <f>D91/15</f>
        <v>0.33600000000000002</v>
      </c>
      <c r="E99" s="374">
        <v>15000</v>
      </c>
      <c r="F99" s="368">
        <f t="shared" si="4"/>
        <v>5040</v>
      </c>
      <c r="G99" s="400">
        <v>12000</v>
      </c>
      <c r="H99" s="400">
        <f t="shared" si="3"/>
        <v>4032.0000000000005</v>
      </c>
      <c r="I99" s="400">
        <v>15000</v>
      </c>
      <c r="J99" s="368">
        <f t="shared" si="5"/>
        <v>5040</v>
      </c>
    </row>
    <row r="100" spans="1:10" ht="18.75" customHeight="1">
      <c r="A100" s="181"/>
      <c r="B100" s="94" t="s">
        <v>25</v>
      </c>
      <c r="C100" s="22" t="s">
        <v>21</v>
      </c>
      <c r="D100" s="113">
        <f>D99*2</f>
        <v>0.67200000000000004</v>
      </c>
      <c r="E100" s="374">
        <v>10000</v>
      </c>
      <c r="F100" s="368">
        <f t="shared" si="4"/>
        <v>6720</v>
      </c>
      <c r="G100" s="400">
        <v>5000</v>
      </c>
      <c r="H100" s="400">
        <f t="shared" si="3"/>
        <v>3360</v>
      </c>
      <c r="I100" s="400">
        <v>7000</v>
      </c>
      <c r="J100" s="368">
        <f t="shared" si="5"/>
        <v>4704</v>
      </c>
    </row>
    <row r="101" spans="1:10" ht="18.75" customHeight="1">
      <c r="A101" s="184"/>
      <c r="B101" s="93" t="s">
        <v>91</v>
      </c>
      <c r="C101" s="27"/>
      <c r="D101" s="117"/>
      <c r="E101" s="381"/>
      <c r="F101" s="368">
        <f t="shared" si="4"/>
        <v>0</v>
      </c>
      <c r="G101" s="400"/>
      <c r="H101" s="400">
        <f t="shared" si="3"/>
        <v>0</v>
      </c>
      <c r="I101" s="400"/>
      <c r="J101" s="368">
        <f t="shared" si="5"/>
        <v>0</v>
      </c>
    </row>
    <row r="102" spans="1:10" ht="18.75" customHeight="1">
      <c r="A102" s="179">
        <v>4.03</v>
      </c>
      <c r="B102" s="95" t="s">
        <v>95</v>
      </c>
      <c r="C102" s="65" t="s">
        <v>36</v>
      </c>
      <c r="D102" s="120">
        <f>((3.1*0.3)*4)*4</f>
        <v>14.879999999999999</v>
      </c>
      <c r="E102" s="375">
        <v>11164.583333333334</v>
      </c>
      <c r="F102" s="367">
        <f t="shared" si="4"/>
        <v>166129</v>
      </c>
      <c r="G102" s="403"/>
      <c r="H102" s="367">
        <f>SUBTOTAL(9,H103:H111)</f>
        <v>196788</v>
      </c>
      <c r="I102" s="403">
        <v>9023.6111111111113</v>
      </c>
      <c r="J102" s="367">
        <f t="shared" si="5"/>
        <v>134271.33333333331</v>
      </c>
    </row>
    <row r="103" spans="1:10" ht="18.75" customHeight="1">
      <c r="A103" s="184"/>
      <c r="B103" s="93" t="s">
        <v>2</v>
      </c>
      <c r="C103" s="22"/>
      <c r="D103" s="109"/>
      <c r="E103" s="374"/>
      <c r="F103" s="368">
        <f t="shared" si="4"/>
        <v>0</v>
      </c>
      <c r="G103" s="400"/>
      <c r="H103" s="400">
        <f t="shared" si="3"/>
        <v>0</v>
      </c>
      <c r="I103" s="400"/>
      <c r="J103" s="368">
        <f t="shared" si="5"/>
        <v>0</v>
      </c>
    </row>
    <row r="104" spans="1:10" ht="18.75" customHeight="1">
      <c r="A104" s="184"/>
      <c r="B104" s="94" t="s">
        <v>84</v>
      </c>
      <c r="C104" s="22" t="s">
        <v>85</v>
      </c>
      <c r="D104" s="113">
        <f>D102/(2.4*1.2)/2</f>
        <v>2.583333333333333</v>
      </c>
      <c r="E104" s="374">
        <v>4500</v>
      </c>
      <c r="F104" s="368">
        <f t="shared" si="4"/>
        <v>11624.999999999998</v>
      </c>
      <c r="G104" s="400">
        <v>30000</v>
      </c>
      <c r="H104" s="400">
        <f t="shared" si="3"/>
        <v>77499.999999999985</v>
      </c>
      <c r="I104" s="400">
        <v>25000</v>
      </c>
      <c r="J104" s="368">
        <f t="shared" si="5"/>
        <v>64583.333333333328</v>
      </c>
    </row>
    <row r="105" spans="1:10" ht="18.75" customHeight="1">
      <c r="A105" s="184"/>
      <c r="B105" s="94" t="s">
        <v>86</v>
      </c>
      <c r="C105" s="22" t="s">
        <v>44</v>
      </c>
      <c r="D105" s="113">
        <f>D102*1.5</f>
        <v>22.32</v>
      </c>
      <c r="E105" s="374">
        <v>5000</v>
      </c>
      <c r="F105" s="368">
        <f t="shared" si="4"/>
        <v>111600</v>
      </c>
      <c r="G105" s="400">
        <v>4000</v>
      </c>
      <c r="H105" s="400">
        <f t="shared" si="3"/>
        <v>89280</v>
      </c>
      <c r="I105" s="400">
        <v>1500</v>
      </c>
      <c r="J105" s="368">
        <f t="shared" si="5"/>
        <v>33480</v>
      </c>
    </row>
    <row r="106" spans="1:10" ht="18.75" customHeight="1">
      <c r="A106" s="180"/>
      <c r="B106" s="94" t="s">
        <v>87</v>
      </c>
      <c r="C106" s="22" t="s">
        <v>88</v>
      </c>
      <c r="D106" s="113">
        <f>D102*0.25</f>
        <v>3.7199999999999998</v>
      </c>
      <c r="E106" s="374">
        <v>2200</v>
      </c>
      <c r="F106" s="368">
        <f t="shared" si="4"/>
        <v>8183.9999999999991</v>
      </c>
      <c r="G106" s="400">
        <v>2200</v>
      </c>
      <c r="H106" s="400">
        <f t="shared" si="3"/>
        <v>8183.9999999999991</v>
      </c>
      <c r="I106" s="400">
        <v>2000</v>
      </c>
      <c r="J106" s="368">
        <f t="shared" si="5"/>
        <v>7439.9999999999991</v>
      </c>
    </row>
    <row r="107" spans="1:10" ht="18.75" customHeight="1">
      <c r="A107" s="180"/>
      <c r="B107" s="93" t="s">
        <v>89</v>
      </c>
      <c r="C107" s="27"/>
      <c r="D107" s="116"/>
      <c r="E107" s="381"/>
      <c r="F107" s="368">
        <f t="shared" si="4"/>
        <v>0</v>
      </c>
      <c r="G107" s="400"/>
      <c r="H107" s="400">
        <f t="shared" si="3"/>
        <v>0</v>
      </c>
      <c r="I107" s="400"/>
      <c r="J107" s="368">
        <f t="shared" si="5"/>
        <v>0</v>
      </c>
    </row>
    <row r="108" spans="1:10" ht="18.75" customHeight="1">
      <c r="A108" s="180"/>
      <c r="B108" s="94"/>
      <c r="C108" s="22"/>
      <c r="D108" s="113"/>
      <c r="E108" s="374"/>
      <c r="F108" s="368">
        <f t="shared" si="4"/>
        <v>0</v>
      </c>
      <c r="G108" s="400"/>
      <c r="H108" s="400">
        <f t="shared" si="3"/>
        <v>0</v>
      </c>
      <c r="I108" s="400"/>
      <c r="J108" s="368">
        <f t="shared" si="5"/>
        <v>0</v>
      </c>
    </row>
    <row r="109" spans="1:10" ht="18.75" customHeight="1">
      <c r="A109" s="181"/>
      <c r="B109" s="93" t="s">
        <v>6</v>
      </c>
      <c r="C109" s="22"/>
      <c r="D109" s="113"/>
      <c r="E109" s="374"/>
      <c r="F109" s="368">
        <f t="shared" si="4"/>
        <v>0</v>
      </c>
      <c r="G109" s="400"/>
      <c r="H109" s="400">
        <f t="shared" si="3"/>
        <v>0</v>
      </c>
      <c r="I109" s="400"/>
      <c r="J109" s="368">
        <f t="shared" si="5"/>
        <v>0</v>
      </c>
    </row>
    <row r="110" spans="1:10" ht="18.75" customHeight="1">
      <c r="A110" s="181"/>
      <c r="B110" s="94" t="s">
        <v>90</v>
      </c>
      <c r="C110" s="22" t="s">
        <v>21</v>
      </c>
      <c r="D110" s="113">
        <f>D102/15</f>
        <v>0.99199999999999988</v>
      </c>
      <c r="E110" s="374">
        <v>15000</v>
      </c>
      <c r="F110" s="368">
        <f t="shared" si="4"/>
        <v>14879.999999999998</v>
      </c>
      <c r="G110" s="400">
        <v>12000</v>
      </c>
      <c r="H110" s="400">
        <f t="shared" si="3"/>
        <v>11903.999999999998</v>
      </c>
      <c r="I110" s="400">
        <v>15000</v>
      </c>
      <c r="J110" s="368">
        <f t="shared" si="5"/>
        <v>14879.999999999998</v>
      </c>
    </row>
    <row r="111" spans="1:10" ht="18.75" customHeight="1">
      <c r="A111" s="181"/>
      <c r="B111" s="94" t="s">
        <v>25</v>
      </c>
      <c r="C111" s="22" t="s">
        <v>21</v>
      </c>
      <c r="D111" s="113">
        <f>D110*2</f>
        <v>1.9839999999999998</v>
      </c>
      <c r="E111" s="374">
        <v>10000</v>
      </c>
      <c r="F111" s="368">
        <f t="shared" si="4"/>
        <v>19839.999999999996</v>
      </c>
      <c r="G111" s="400">
        <v>5000</v>
      </c>
      <c r="H111" s="400">
        <f t="shared" si="3"/>
        <v>9919.9999999999982</v>
      </c>
      <c r="I111" s="400">
        <v>7000</v>
      </c>
      <c r="J111" s="368">
        <f t="shared" si="5"/>
        <v>13887.999999999998</v>
      </c>
    </row>
    <row r="112" spans="1:10" ht="18.75" customHeight="1">
      <c r="A112" s="184"/>
      <c r="B112" s="10" t="s">
        <v>9</v>
      </c>
      <c r="C112" s="27"/>
      <c r="D112" s="117"/>
      <c r="E112" s="381"/>
      <c r="F112" s="368">
        <f t="shared" si="4"/>
        <v>0</v>
      </c>
      <c r="G112" s="400"/>
      <c r="H112" s="400">
        <f t="shared" si="3"/>
        <v>0</v>
      </c>
      <c r="I112" s="400"/>
      <c r="J112" s="368">
        <f t="shared" si="5"/>
        <v>0</v>
      </c>
    </row>
    <row r="113" spans="1:10" ht="18.75" customHeight="1">
      <c r="A113" s="184"/>
      <c r="B113" s="10"/>
      <c r="C113" s="27"/>
      <c r="D113" s="117"/>
      <c r="E113" s="381"/>
      <c r="F113" s="368">
        <f t="shared" si="4"/>
        <v>0</v>
      </c>
      <c r="G113" s="400"/>
      <c r="H113" s="400">
        <f t="shared" si="3"/>
        <v>0</v>
      </c>
      <c r="I113" s="400"/>
      <c r="J113" s="368">
        <f t="shared" si="5"/>
        <v>0</v>
      </c>
    </row>
    <row r="114" spans="1:10" ht="18.75" customHeight="1">
      <c r="A114" s="185">
        <v>5</v>
      </c>
      <c r="B114" s="96" t="s">
        <v>105</v>
      </c>
      <c r="C114" s="65" t="s">
        <v>88</v>
      </c>
      <c r="D114" s="120">
        <v>94.819000000000003</v>
      </c>
      <c r="E114" s="375">
        <v>6375.8333333333339</v>
      </c>
      <c r="F114" s="367">
        <f t="shared" si="4"/>
        <v>604550.14083333337</v>
      </c>
      <c r="G114" s="403"/>
      <c r="H114" s="367">
        <f>SUBTOTAL(9,H115:H123)</f>
        <v>521636.19305555557</v>
      </c>
      <c r="I114" s="403">
        <v>3141.115646067185</v>
      </c>
      <c r="J114" s="367">
        <f t="shared" si="5"/>
        <v>297837.44444444444</v>
      </c>
    </row>
    <row r="115" spans="1:10" ht="18.75" customHeight="1">
      <c r="A115" s="184"/>
      <c r="B115" s="93" t="s">
        <v>2</v>
      </c>
      <c r="C115" s="22"/>
      <c r="D115" s="109"/>
      <c r="E115" s="374"/>
      <c r="F115" s="368">
        <f t="shared" si="4"/>
        <v>0</v>
      </c>
      <c r="G115" s="400"/>
      <c r="H115" s="400">
        <f t="shared" si="3"/>
        <v>0</v>
      </c>
      <c r="I115" s="400"/>
      <c r="J115" s="368">
        <f t="shared" si="5"/>
        <v>0</v>
      </c>
    </row>
    <row r="116" spans="1:10" ht="18.75" customHeight="1">
      <c r="A116" s="184"/>
      <c r="B116" s="94" t="s">
        <v>106</v>
      </c>
      <c r="C116" s="22" t="s">
        <v>88</v>
      </c>
      <c r="D116" s="113">
        <f>D114*1.1</f>
        <v>104.30090000000001</v>
      </c>
      <c r="E116" s="374">
        <v>5050</v>
      </c>
      <c r="F116" s="368">
        <f t="shared" si="4"/>
        <v>526719.54500000004</v>
      </c>
      <c r="G116" s="400">
        <v>4500</v>
      </c>
      <c r="H116" s="400">
        <f t="shared" si="3"/>
        <v>469354.05000000005</v>
      </c>
      <c r="I116" s="400">
        <v>1800</v>
      </c>
      <c r="J116" s="368">
        <f t="shared" si="5"/>
        <v>187741.62000000002</v>
      </c>
    </row>
    <row r="117" spans="1:10" ht="18.75" customHeight="1">
      <c r="A117" s="184"/>
      <c r="B117" s="94" t="s">
        <v>107</v>
      </c>
      <c r="C117" s="22" t="s">
        <v>88</v>
      </c>
      <c r="D117" s="113">
        <f>D114*2.5%</f>
        <v>2.3704750000000003</v>
      </c>
      <c r="E117" s="374">
        <v>3500</v>
      </c>
      <c r="F117" s="368">
        <f t="shared" si="4"/>
        <v>8296.6625000000004</v>
      </c>
      <c r="G117" s="400">
        <v>2500</v>
      </c>
      <c r="H117" s="400">
        <f t="shared" si="3"/>
        <v>5926.1875000000009</v>
      </c>
      <c r="I117" s="400">
        <v>2000</v>
      </c>
      <c r="J117" s="368">
        <f t="shared" si="5"/>
        <v>4740.9500000000007</v>
      </c>
    </row>
    <row r="118" spans="1:10" ht="18.75" customHeight="1">
      <c r="A118" s="184"/>
      <c r="B118" s="94"/>
      <c r="C118" s="22"/>
      <c r="D118" s="113"/>
      <c r="E118" s="374"/>
      <c r="F118" s="368">
        <f t="shared" si="4"/>
        <v>0</v>
      </c>
      <c r="G118" s="400"/>
      <c r="H118" s="400">
        <f t="shared" si="3"/>
        <v>0</v>
      </c>
      <c r="I118" s="400"/>
      <c r="J118" s="368">
        <f t="shared" si="5"/>
        <v>0</v>
      </c>
    </row>
    <row r="119" spans="1:10" ht="18.75" customHeight="1">
      <c r="A119" s="153"/>
      <c r="B119" s="93" t="s">
        <v>108</v>
      </c>
      <c r="C119" s="27"/>
      <c r="D119" s="116"/>
      <c r="E119" s="381"/>
      <c r="F119" s="368">
        <f t="shared" si="4"/>
        <v>0</v>
      </c>
      <c r="G119" s="400"/>
      <c r="H119" s="400">
        <f t="shared" si="3"/>
        <v>0</v>
      </c>
      <c r="I119" s="400"/>
      <c r="J119" s="368">
        <f t="shared" si="5"/>
        <v>0</v>
      </c>
    </row>
    <row r="120" spans="1:10" ht="18.75" customHeight="1">
      <c r="A120" s="184"/>
      <c r="B120" s="94"/>
      <c r="C120" s="22"/>
      <c r="D120" s="113"/>
      <c r="E120" s="374"/>
      <c r="F120" s="368">
        <f t="shared" si="4"/>
        <v>0</v>
      </c>
      <c r="G120" s="400"/>
      <c r="H120" s="400">
        <f t="shared" si="3"/>
        <v>0</v>
      </c>
      <c r="I120" s="400"/>
      <c r="J120" s="368">
        <f t="shared" si="5"/>
        <v>0</v>
      </c>
    </row>
    <row r="121" spans="1:10" ht="18.75" customHeight="1">
      <c r="A121" s="184"/>
      <c r="B121" s="93" t="s">
        <v>6</v>
      </c>
      <c r="C121" s="22"/>
      <c r="D121" s="113"/>
      <c r="E121" s="374"/>
      <c r="F121" s="368">
        <f t="shared" si="4"/>
        <v>0</v>
      </c>
      <c r="G121" s="400"/>
      <c r="H121" s="400">
        <f t="shared" si="3"/>
        <v>0</v>
      </c>
      <c r="I121" s="400"/>
      <c r="J121" s="368">
        <f t="shared" si="5"/>
        <v>0</v>
      </c>
    </row>
    <row r="122" spans="1:10" ht="18.75" customHeight="1">
      <c r="A122" s="184"/>
      <c r="B122" s="94" t="s">
        <v>109</v>
      </c>
      <c r="C122" s="22" t="s">
        <v>8</v>
      </c>
      <c r="D122" s="113">
        <f>D114/45</f>
        <v>2.1070888888888888</v>
      </c>
      <c r="E122" s="374">
        <v>17000</v>
      </c>
      <c r="F122" s="368">
        <f t="shared" si="4"/>
        <v>35820.511111111111</v>
      </c>
      <c r="G122" s="400">
        <v>12000</v>
      </c>
      <c r="H122" s="400">
        <f t="shared" si="3"/>
        <v>25285.066666666666</v>
      </c>
      <c r="I122" s="400">
        <v>36000</v>
      </c>
      <c r="J122" s="368">
        <f t="shared" si="5"/>
        <v>75855.199999999997</v>
      </c>
    </row>
    <row r="123" spans="1:10" ht="18.75" customHeight="1">
      <c r="A123" s="184"/>
      <c r="B123" s="94" t="s">
        <v>110</v>
      </c>
      <c r="C123" s="22" t="s">
        <v>8</v>
      </c>
      <c r="D123" s="113">
        <f>D122*2</f>
        <v>4.2141777777777776</v>
      </c>
      <c r="E123" s="374">
        <v>8000</v>
      </c>
      <c r="F123" s="368">
        <f t="shared" si="4"/>
        <v>33713.422222222223</v>
      </c>
      <c r="G123" s="400">
        <v>5000</v>
      </c>
      <c r="H123" s="400">
        <f t="shared" si="3"/>
        <v>21070.888888888887</v>
      </c>
      <c r="I123" s="400">
        <v>7000</v>
      </c>
      <c r="J123" s="368">
        <f t="shared" si="5"/>
        <v>29499.244444444445</v>
      </c>
    </row>
    <row r="124" spans="1:10" ht="18.75" customHeight="1">
      <c r="A124" s="153"/>
      <c r="B124" s="93" t="s">
        <v>111</v>
      </c>
      <c r="C124" s="27"/>
      <c r="D124" s="117"/>
      <c r="E124" s="381"/>
      <c r="F124" s="368">
        <f t="shared" si="4"/>
        <v>0</v>
      </c>
      <c r="G124" s="400"/>
      <c r="H124" s="400">
        <f t="shared" si="3"/>
        <v>0</v>
      </c>
      <c r="I124" s="400"/>
      <c r="J124" s="368">
        <f t="shared" si="5"/>
        <v>0</v>
      </c>
    </row>
    <row r="125" spans="1:10" ht="18.75" customHeight="1">
      <c r="A125" s="153"/>
      <c r="B125" s="93"/>
      <c r="C125" s="27"/>
      <c r="D125" s="117"/>
      <c r="E125" s="381"/>
      <c r="F125" s="368">
        <f t="shared" si="4"/>
        <v>0</v>
      </c>
      <c r="G125" s="400"/>
      <c r="H125" s="400">
        <f t="shared" si="3"/>
        <v>0</v>
      </c>
      <c r="I125" s="400"/>
      <c r="J125" s="368">
        <f t="shared" si="5"/>
        <v>0</v>
      </c>
    </row>
    <row r="126" spans="1:10" ht="18.75" customHeight="1">
      <c r="A126" s="155">
        <v>6</v>
      </c>
      <c r="B126" s="476" t="s">
        <v>101</v>
      </c>
      <c r="C126" s="476"/>
      <c r="D126" s="476"/>
      <c r="E126" s="376"/>
      <c r="F126" s="368">
        <f t="shared" si="4"/>
        <v>0</v>
      </c>
      <c r="G126" s="400"/>
      <c r="H126" s="400">
        <f t="shared" si="3"/>
        <v>0</v>
      </c>
      <c r="I126" s="400"/>
      <c r="J126" s="368">
        <f t="shared" si="5"/>
        <v>0</v>
      </c>
    </row>
    <row r="127" spans="1:10" ht="18.75" customHeight="1">
      <c r="A127" s="179">
        <v>6.01</v>
      </c>
      <c r="B127" s="95" t="s">
        <v>102</v>
      </c>
      <c r="C127" s="65" t="s">
        <v>10</v>
      </c>
      <c r="D127" s="120">
        <f>(0.7*0.7*0.15)*4</f>
        <v>0.29399999999999993</v>
      </c>
      <c r="E127" s="375">
        <v>218000.00000000003</v>
      </c>
      <c r="F127" s="367">
        <f t="shared" si="4"/>
        <v>64091.999999999993</v>
      </c>
      <c r="G127" s="403"/>
      <c r="H127" s="367">
        <f>SUBTOTAL(9,H128:H136)</f>
        <v>118089.99999999999</v>
      </c>
      <c r="I127" s="403">
        <v>318000</v>
      </c>
      <c r="J127" s="367">
        <f t="shared" si="5"/>
        <v>93491.999999999971</v>
      </c>
    </row>
    <row r="128" spans="1:10" ht="18.75" customHeight="1">
      <c r="A128" s="186"/>
      <c r="B128" s="97" t="s">
        <v>2</v>
      </c>
      <c r="C128" s="53"/>
      <c r="D128" s="118"/>
      <c r="E128" s="377"/>
      <c r="F128" s="368">
        <f t="shared" si="4"/>
        <v>0</v>
      </c>
      <c r="G128" s="400"/>
      <c r="H128" s="400">
        <f t="shared" si="3"/>
        <v>0</v>
      </c>
      <c r="I128" s="400"/>
      <c r="J128" s="368">
        <f t="shared" si="5"/>
        <v>0</v>
      </c>
    </row>
    <row r="129" spans="1:10" ht="18.75" customHeight="1">
      <c r="A129" s="186"/>
      <c r="B129" s="98" t="s">
        <v>99</v>
      </c>
      <c r="C129" s="53" t="s">
        <v>28</v>
      </c>
      <c r="D129" s="130">
        <f>D127*1.1</f>
        <v>0.32339999999999997</v>
      </c>
      <c r="E129" s="377">
        <v>180000</v>
      </c>
      <c r="F129" s="368">
        <f t="shared" si="4"/>
        <v>58211.999999999993</v>
      </c>
      <c r="G129" s="400">
        <v>350000</v>
      </c>
      <c r="H129" s="400">
        <f t="shared" si="3"/>
        <v>113189.99999999999</v>
      </c>
      <c r="I129" s="400">
        <v>280000</v>
      </c>
      <c r="J129" s="368">
        <f t="shared" si="5"/>
        <v>90551.999999999985</v>
      </c>
    </row>
    <row r="130" spans="1:10" ht="18.75" customHeight="1">
      <c r="A130" s="187"/>
      <c r="B130" s="97" t="s">
        <v>100</v>
      </c>
      <c r="C130" s="54"/>
      <c r="D130" s="119"/>
      <c r="E130" s="384"/>
      <c r="F130" s="368">
        <f t="shared" si="4"/>
        <v>0</v>
      </c>
      <c r="G130" s="400"/>
      <c r="H130" s="400">
        <f t="shared" si="3"/>
        <v>0</v>
      </c>
      <c r="I130" s="400"/>
      <c r="J130" s="368">
        <f t="shared" si="5"/>
        <v>0</v>
      </c>
    </row>
    <row r="131" spans="1:10" ht="18.75" customHeight="1">
      <c r="A131" s="187"/>
      <c r="B131" s="97"/>
      <c r="C131" s="54"/>
      <c r="D131" s="119"/>
      <c r="E131" s="384"/>
      <c r="F131" s="368">
        <f t="shared" si="4"/>
        <v>0</v>
      </c>
      <c r="G131" s="400"/>
      <c r="H131" s="400">
        <f t="shared" si="3"/>
        <v>0</v>
      </c>
      <c r="I131" s="400"/>
      <c r="J131" s="368">
        <f t="shared" si="5"/>
        <v>0</v>
      </c>
    </row>
    <row r="132" spans="1:10" ht="18.75" customHeight="1">
      <c r="A132" s="184"/>
      <c r="B132" s="93" t="s">
        <v>19</v>
      </c>
      <c r="C132" s="22"/>
      <c r="D132" s="113"/>
      <c r="E132" s="374"/>
      <c r="F132" s="368">
        <f t="shared" si="4"/>
        <v>0</v>
      </c>
      <c r="G132" s="400"/>
      <c r="H132" s="400">
        <f t="shared" si="3"/>
        <v>0</v>
      </c>
      <c r="I132" s="400"/>
      <c r="J132" s="368">
        <f t="shared" si="5"/>
        <v>0</v>
      </c>
    </row>
    <row r="133" spans="1:10" ht="18.75" customHeight="1">
      <c r="A133" s="184"/>
      <c r="B133" s="94" t="s">
        <v>22</v>
      </c>
      <c r="C133" s="22" t="s">
        <v>21</v>
      </c>
      <c r="D133" s="113">
        <f>D127/6</f>
        <v>4.8999999999999988E-2</v>
      </c>
      <c r="E133" s="374">
        <v>65000</v>
      </c>
      <c r="F133" s="368">
        <f t="shared" si="4"/>
        <v>3184.9999999999991</v>
      </c>
      <c r="G133" s="400">
        <v>50000</v>
      </c>
      <c r="H133" s="400">
        <f t="shared" si="3"/>
        <v>2449.9999999999995</v>
      </c>
      <c r="I133" s="400">
        <v>40000</v>
      </c>
      <c r="J133" s="368">
        <f t="shared" si="5"/>
        <v>1959.9999999999995</v>
      </c>
    </row>
    <row r="134" spans="1:10" ht="18.75" customHeight="1">
      <c r="A134" s="153"/>
      <c r="B134" s="93" t="s">
        <v>112</v>
      </c>
      <c r="C134" s="27"/>
      <c r="D134" s="116"/>
      <c r="E134" s="381"/>
      <c r="F134" s="368">
        <f t="shared" si="4"/>
        <v>0</v>
      </c>
      <c r="G134" s="400"/>
      <c r="H134" s="400">
        <f t="shared" si="3"/>
        <v>0</v>
      </c>
      <c r="I134" s="400"/>
      <c r="J134" s="368">
        <f t="shared" si="5"/>
        <v>0</v>
      </c>
    </row>
    <row r="135" spans="1:10" ht="18.75" customHeight="1">
      <c r="A135" s="153"/>
      <c r="B135" s="93"/>
      <c r="C135" s="27"/>
      <c r="D135" s="116"/>
      <c r="E135" s="381"/>
      <c r="F135" s="368">
        <f t="shared" si="4"/>
        <v>0</v>
      </c>
      <c r="G135" s="400"/>
      <c r="H135" s="400">
        <f t="shared" ref="H135:H198" si="6">D135*G135</f>
        <v>0</v>
      </c>
      <c r="I135" s="400"/>
      <c r="J135" s="368">
        <f t="shared" si="5"/>
        <v>0</v>
      </c>
    </row>
    <row r="136" spans="1:10" ht="18.75" customHeight="1">
      <c r="A136" s="186"/>
      <c r="B136" s="98" t="s">
        <v>26</v>
      </c>
      <c r="C136" s="53" t="s">
        <v>21</v>
      </c>
      <c r="D136" s="130">
        <f>D133</f>
        <v>4.8999999999999988E-2</v>
      </c>
      <c r="E136" s="377">
        <v>55000</v>
      </c>
      <c r="F136" s="368">
        <f t="shared" ref="F136:F199" si="7">D136*E136</f>
        <v>2694.9999999999995</v>
      </c>
      <c r="G136" s="400">
        <v>50000</v>
      </c>
      <c r="H136" s="400">
        <f t="shared" si="6"/>
        <v>2449.9999999999995</v>
      </c>
      <c r="I136" s="400">
        <v>20000</v>
      </c>
      <c r="J136" s="368">
        <f t="shared" ref="J136:J199" si="8">D136*I136</f>
        <v>979.99999999999977</v>
      </c>
    </row>
    <row r="137" spans="1:10" ht="18.75" customHeight="1">
      <c r="A137" s="187"/>
      <c r="B137" s="97" t="s">
        <v>113</v>
      </c>
      <c r="C137" s="54"/>
      <c r="D137" s="119"/>
      <c r="E137" s="384"/>
      <c r="F137" s="368">
        <f t="shared" si="7"/>
        <v>0</v>
      </c>
      <c r="G137" s="400"/>
      <c r="H137" s="400">
        <f t="shared" si="6"/>
        <v>0</v>
      </c>
      <c r="I137" s="400"/>
      <c r="J137" s="368">
        <f t="shared" si="8"/>
        <v>0</v>
      </c>
    </row>
    <row r="138" spans="1:10" ht="18.75" customHeight="1">
      <c r="A138" s="179">
        <v>6.02</v>
      </c>
      <c r="B138" s="95" t="s">
        <v>103</v>
      </c>
      <c r="C138" s="65" t="s">
        <v>10</v>
      </c>
      <c r="D138" s="120">
        <f>(1*0.25*0.25)*4</f>
        <v>0.25</v>
      </c>
      <c r="E138" s="375">
        <v>223920.00000000003</v>
      </c>
      <c r="F138" s="367">
        <f t="shared" si="7"/>
        <v>55980.000000000007</v>
      </c>
      <c r="G138" s="403"/>
      <c r="H138" s="367">
        <f>SUBTOTAL(9,H139:H147)</f>
        <v>97066.666666666672</v>
      </c>
      <c r="I138" s="403">
        <v>309960</v>
      </c>
      <c r="J138" s="367">
        <f t="shared" si="8"/>
        <v>77490</v>
      </c>
    </row>
    <row r="139" spans="1:10" ht="18.75" customHeight="1">
      <c r="A139" s="186"/>
      <c r="B139" s="97" t="s">
        <v>2</v>
      </c>
      <c r="C139" s="53"/>
      <c r="D139" s="118"/>
      <c r="E139" s="377"/>
      <c r="F139" s="368">
        <f t="shared" si="7"/>
        <v>0</v>
      </c>
      <c r="G139" s="400"/>
      <c r="H139" s="400">
        <f t="shared" si="6"/>
        <v>0</v>
      </c>
      <c r="I139" s="400"/>
      <c r="J139" s="368">
        <f t="shared" si="8"/>
        <v>0</v>
      </c>
    </row>
    <row r="140" spans="1:10" ht="18.75" customHeight="1">
      <c r="A140" s="186"/>
      <c r="B140" s="98" t="s">
        <v>99</v>
      </c>
      <c r="C140" s="53" t="s">
        <v>28</v>
      </c>
      <c r="D140" s="130">
        <f>D138*1.1</f>
        <v>0.27500000000000002</v>
      </c>
      <c r="E140" s="377">
        <v>200000</v>
      </c>
      <c r="F140" s="368">
        <f t="shared" si="7"/>
        <v>55000.000000000007</v>
      </c>
      <c r="G140" s="400">
        <v>350000</v>
      </c>
      <c r="H140" s="400">
        <f t="shared" si="6"/>
        <v>96250.000000000015</v>
      </c>
      <c r="I140" s="400">
        <v>280000</v>
      </c>
      <c r="J140" s="368">
        <f t="shared" si="8"/>
        <v>77000</v>
      </c>
    </row>
    <row r="141" spans="1:10" ht="18.75" customHeight="1">
      <c r="A141" s="187"/>
      <c r="B141" s="97" t="s">
        <v>100</v>
      </c>
      <c r="C141" s="54"/>
      <c r="D141" s="119"/>
      <c r="E141" s="384"/>
      <c r="F141" s="368">
        <f t="shared" si="7"/>
        <v>0</v>
      </c>
      <c r="G141" s="400"/>
      <c r="H141" s="400">
        <f t="shared" si="6"/>
        <v>0</v>
      </c>
      <c r="I141" s="400"/>
      <c r="J141" s="368">
        <f t="shared" si="8"/>
        <v>0</v>
      </c>
    </row>
    <row r="142" spans="1:10" ht="18.75" customHeight="1">
      <c r="A142" s="187"/>
      <c r="B142" s="97"/>
      <c r="C142" s="54"/>
      <c r="D142" s="119"/>
      <c r="E142" s="384"/>
      <c r="F142" s="368">
        <f t="shared" si="7"/>
        <v>0</v>
      </c>
      <c r="G142" s="400"/>
      <c r="H142" s="400">
        <f t="shared" si="6"/>
        <v>0</v>
      </c>
      <c r="I142" s="400"/>
      <c r="J142" s="368">
        <f t="shared" si="8"/>
        <v>0</v>
      </c>
    </row>
    <row r="143" spans="1:10" ht="18.75" customHeight="1">
      <c r="A143" s="184"/>
      <c r="B143" s="93" t="s">
        <v>19</v>
      </c>
      <c r="C143" s="22"/>
      <c r="D143" s="113"/>
      <c r="E143" s="374"/>
      <c r="F143" s="368">
        <f t="shared" si="7"/>
        <v>0</v>
      </c>
      <c r="G143" s="400"/>
      <c r="H143" s="400">
        <f t="shared" si="6"/>
        <v>0</v>
      </c>
      <c r="I143" s="400"/>
      <c r="J143" s="368">
        <f t="shared" si="8"/>
        <v>0</v>
      </c>
    </row>
    <row r="144" spans="1:10" ht="18.75" customHeight="1">
      <c r="A144" s="184"/>
      <c r="B144" s="94" t="s">
        <v>22</v>
      </c>
      <c r="C144" s="22" t="s">
        <v>21</v>
      </c>
      <c r="D144" s="230">
        <f>D136/6</f>
        <v>8.1666666666666641E-3</v>
      </c>
      <c r="E144" s="374">
        <v>65000</v>
      </c>
      <c r="F144" s="368">
        <f t="shared" si="7"/>
        <v>530.83333333333314</v>
      </c>
      <c r="G144" s="400">
        <v>50000</v>
      </c>
      <c r="H144" s="400">
        <f t="shared" si="6"/>
        <v>408.3333333333332</v>
      </c>
      <c r="I144" s="400">
        <v>40000</v>
      </c>
      <c r="J144" s="368">
        <f t="shared" si="8"/>
        <v>326.66666666666657</v>
      </c>
    </row>
    <row r="145" spans="1:10" ht="18.75" customHeight="1">
      <c r="A145" s="153"/>
      <c r="B145" s="93" t="s">
        <v>112</v>
      </c>
      <c r="C145" s="27"/>
      <c r="D145" s="116"/>
      <c r="E145" s="381"/>
      <c r="F145" s="368">
        <f t="shared" si="7"/>
        <v>0</v>
      </c>
      <c r="G145" s="400"/>
      <c r="H145" s="400">
        <f t="shared" si="6"/>
        <v>0</v>
      </c>
      <c r="I145" s="400"/>
      <c r="J145" s="368">
        <f t="shared" si="8"/>
        <v>0</v>
      </c>
    </row>
    <row r="146" spans="1:10" ht="18.75" customHeight="1">
      <c r="A146" s="153"/>
      <c r="B146" s="93"/>
      <c r="C146" s="27"/>
      <c r="D146" s="116"/>
      <c r="E146" s="381"/>
      <c r="F146" s="368">
        <f t="shared" si="7"/>
        <v>0</v>
      </c>
      <c r="G146" s="400"/>
      <c r="H146" s="400">
        <f t="shared" si="6"/>
        <v>0</v>
      </c>
      <c r="I146" s="400"/>
      <c r="J146" s="368">
        <f t="shared" si="8"/>
        <v>0</v>
      </c>
    </row>
    <row r="147" spans="1:10" ht="18.75" customHeight="1">
      <c r="A147" s="186"/>
      <c r="B147" s="98" t="s">
        <v>26</v>
      </c>
      <c r="C147" s="53" t="s">
        <v>21</v>
      </c>
      <c r="D147" s="231">
        <f>D144</f>
        <v>8.1666666666666641E-3</v>
      </c>
      <c r="E147" s="377">
        <v>55000</v>
      </c>
      <c r="F147" s="368">
        <f t="shared" si="7"/>
        <v>449.16666666666652</v>
      </c>
      <c r="G147" s="400">
        <v>50000</v>
      </c>
      <c r="H147" s="400">
        <f t="shared" si="6"/>
        <v>408.3333333333332</v>
      </c>
      <c r="I147" s="400">
        <v>20000</v>
      </c>
      <c r="J147" s="368">
        <f t="shared" si="8"/>
        <v>163.33333333333329</v>
      </c>
    </row>
    <row r="148" spans="1:10" ht="18.75" customHeight="1">
      <c r="A148" s="187"/>
      <c r="B148" s="97" t="s">
        <v>113</v>
      </c>
      <c r="C148" s="54"/>
      <c r="D148" s="119"/>
      <c r="E148" s="384"/>
      <c r="F148" s="368">
        <f t="shared" si="7"/>
        <v>0</v>
      </c>
      <c r="G148" s="400"/>
      <c r="H148" s="400">
        <f t="shared" si="6"/>
        <v>0</v>
      </c>
      <c r="I148" s="400"/>
      <c r="J148" s="368">
        <f t="shared" si="8"/>
        <v>0</v>
      </c>
    </row>
    <row r="149" spans="1:10" ht="18.75" customHeight="1">
      <c r="A149" s="179">
        <v>6.03</v>
      </c>
      <c r="B149" s="95" t="s">
        <v>104</v>
      </c>
      <c r="C149" s="65" t="s">
        <v>10</v>
      </c>
      <c r="D149" s="120">
        <f>(3*0.25*0.25)*4</f>
        <v>0.75</v>
      </c>
      <c r="E149" s="375">
        <v>295000.00000000006</v>
      </c>
      <c r="F149" s="367">
        <f t="shared" si="7"/>
        <v>221250.00000000006</v>
      </c>
      <c r="G149" s="403"/>
      <c r="H149" s="367">
        <f>SUBTOTAL(9,H150:H158)</f>
        <v>301250</v>
      </c>
      <c r="I149" s="403">
        <v>318000</v>
      </c>
      <c r="J149" s="367">
        <f t="shared" si="8"/>
        <v>238500</v>
      </c>
    </row>
    <row r="150" spans="1:10" ht="18.75" customHeight="1">
      <c r="A150" s="186"/>
      <c r="B150" s="97" t="s">
        <v>2</v>
      </c>
      <c r="C150" s="53"/>
      <c r="D150" s="118"/>
      <c r="E150" s="377"/>
      <c r="F150" s="368">
        <f t="shared" si="7"/>
        <v>0</v>
      </c>
      <c r="G150" s="400"/>
      <c r="H150" s="400">
        <f t="shared" si="6"/>
        <v>0</v>
      </c>
      <c r="I150" s="400"/>
      <c r="J150" s="368">
        <f t="shared" si="8"/>
        <v>0</v>
      </c>
    </row>
    <row r="151" spans="1:10" ht="18.75" customHeight="1">
      <c r="A151" s="186"/>
      <c r="B151" s="98" t="s">
        <v>99</v>
      </c>
      <c r="C151" s="53" t="s">
        <v>28</v>
      </c>
      <c r="D151" s="130">
        <f>D149*1.1</f>
        <v>0.82500000000000007</v>
      </c>
      <c r="E151" s="377">
        <v>250000</v>
      </c>
      <c r="F151" s="368">
        <f t="shared" si="7"/>
        <v>206250.00000000003</v>
      </c>
      <c r="G151" s="400">
        <v>350000</v>
      </c>
      <c r="H151" s="400">
        <f t="shared" si="6"/>
        <v>288750</v>
      </c>
      <c r="I151" s="400">
        <v>280000</v>
      </c>
      <c r="J151" s="368">
        <f t="shared" si="8"/>
        <v>231000.00000000003</v>
      </c>
    </row>
    <row r="152" spans="1:10" ht="18.75" customHeight="1">
      <c r="A152" s="187"/>
      <c r="B152" s="97" t="s">
        <v>100</v>
      </c>
      <c r="C152" s="54"/>
      <c r="D152" s="119"/>
      <c r="E152" s="384"/>
      <c r="F152" s="368">
        <f t="shared" si="7"/>
        <v>0</v>
      </c>
      <c r="G152" s="400"/>
      <c r="H152" s="400">
        <f t="shared" si="6"/>
        <v>0</v>
      </c>
      <c r="I152" s="400"/>
      <c r="J152" s="368">
        <f t="shared" si="8"/>
        <v>0</v>
      </c>
    </row>
    <row r="153" spans="1:10" ht="18.75" customHeight="1">
      <c r="A153" s="187"/>
      <c r="B153" s="97"/>
      <c r="C153" s="54"/>
      <c r="D153" s="119"/>
      <c r="E153" s="384"/>
      <c r="F153" s="368">
        <f t="shared" si="7"/>
        <v>0</v>
      </c>
      <c r="G153" s="400"/>
      <c r="H153" s="400">
        <f t="shared" si="6"/>
        <v>0</v>
      </c>
      <c r="I153" s="400"/>
      <c r="J153" s="368">
        <f t="shared" si="8"/>
        <v>0</v>
      </c>
    </row>
    <row r="154" spans="1:10" ht="18.75" customHeight="1">
      <c r="A154" s="184"/>
      <c r="B154" s="93" t="s">
        <v>19</v>
      </c>
      <c r="C154" s="22"/>
      <c r="D154" s="113"/>
      <c r="E154" s="374"/>
      <c r="F154" s="368">
        <f t="shared" si="7"/>
        <v>0</v>
      </c>
      <c r="G154" s="400"/>
      <c r="H154" s="400">
        <f t="shared" si="6"/>
        <v>0</v>
      </c>
      <c r="I154" s="400"/>
      <c r="J154" s="368">
        <f t="shared" si="8"/>
        <v>0</v>
      </c>
    </row>
    <row r="155" spans="1:10" ht="18.75" customHeight="1">
      <c r="A155" s="184"/>
      <c r="B155" s="94" t="s">
        <v>22</v>
      </c>
      <c r="C155" s="22" t="s">
        <v>21</v>
      </c>
      <c r="D155" s="113">
        <f>D149/6</f>
        <v>0.125</v>
      </c>
      <c r="E155" s="374">
        <v>65000</v>
      </c>
      <c r="F155" s="368">
        <f t="shared" si="7"/>
        <v>8125</v>
      </c>
      <c r="G155" s="400">
        <v>50000</v>
      </c>
      <c r="H155" s="400">
        <f t="shared" si="6"/>
        <v>6250</v>
      </c>
      <c r="I155" s="400">
        <v>40000</v>
      </c>
      <c r="J155" s="368">
        <f t="shared" si="8"/>
        <v>5000</v>
      </c>
    </row>
    <row r="156" spans="1:10" ht="18.75" customHeight="1">
      <c r="A156" s="153"/>
      <c r="B156" s="93" t="s">
        <v>112</v>
      </c>
      <c r="C156" s="27"/>
      <c r="D156" s="116"/>
      <c r="E156" s="381"/>
      <c r="F156" s="368">
        <f t="shared" si="7"/>
        <v>0</v>
      </c>
      <c r="G156" s="400"/>
      <c r="H156" s="400">
        <f t="shared" si="6"/>
        <v>0</v>
      </c>
      <c r="I156" s="400"/>
      <c r="J156" s="368">
        <f t="shared" si="8"/>
        <v>0</v>
      </c>
    </row>
    <row r="157" spans="1:10" ht="18.75" customHeight="1">
      <c r="A157" s="153"/>
      <c r="B157" s="93"/>
      <c r="C157" s="27"/>
      <c r="D157" s="116"/>
      <c r="E157" s="381"/>
      <c r="F157" s="368">
        <f t="shared" si="7"/>
        <v>0</v>
      </c>
      <c r="G157" s="400"/>
      <c r="H157" s="400">
        <f t="shared" si="6"/>
        <v>0</v>
      </c>
      <c r="I157" s="400"/>
      <c r="J157" s="368">
        <f t="shared" si="8"/>
        <v>0</v>
      </c>
    </row>
    <row r="158" spans="1:10" ht="18.75" customHeight="1">
      <c r="A158" s="186"/>
      <c r="B158" s="98" t="s">
        <v>26</v>
      </c>
      <c r="C158" s="53" t="s">
        <v>21</v>
      </c>
      <c r="D158" s="130">
        <f>D155</f>
        <v>0.125</v>
      </c>
      <c r="E158" s="377">
        <v>55000</v>
      </c>
      <c r="F158" s="368">
        <f t="shared" si="7"/>
        <v>6875</v>
      </c>
      <c r="G158" s="400">
        <v>50000</v>
      </c>
      <c r="H158" s="400">
        <f t="shared" si="6"/>
        <v>6250</v>
      </c>
      <c r="I158" s="400">
        <v>20000</v>
      </c>
      <c r="J158" s="368">
        <f t="shared" si="8"/>
        <v>2500</v>
      </c>
    </row>
    <row r="159" spans="1:10" ht="18.75" customHeight="1">
      <c r="A159" s="187"/>
      <c r="B159" s="97" t="s">
        <v>113</v>
      </c>
      <c r="C159" s="54"/>
      <c r="D159" s="119"/>
      <c r="E159" s="384"/>
      <c r="F159" s="368">
        <f t="shared" si="7"/>
        <v>0</v>
      </c>
      <c r="G159" s="400"/>
      <c r="H159" s="400">
        <f t="shared" si="6"/>
        <v>0</v>
      </c>
      <c r="I159" s="400"/>
      <c r="J159" s="368">
        <f t="shared" si="8"/>
        <v>0</v>
      </c>
    </row>
    <row r="160" spans="1:10" ht="18.75" customHeight="1">
      <c r="A160" s="187"/>
      <c r="B160" s="97"/>
      <c r="C160" s="54"/>
      <c r="D160" s="119"/>
      <c r="E160" s="384"/>
      <c r="F160" s="368">
        <f t="shared" si="7"/>
        <v>0</v>
      </c>
      <c r="G160" s="400"/>
      <c r="H160" s="400">
        <f t="shared" si="6"/>
        <v>0</v>
      </c>
      <c r="I160" s="400"/>
      <c r="J160" s="368">
        <f t="shared" si="8"/>
        <v>0</v>
      </c>
    </row>
    <row r="161" spans="1:10" s="86" customFormat="1" ht="18.75" customHeight="1">
      <c r="A161" s="155">
        <v>7</v>
      </c>
      <c r="B161" s="474" t="s">
        <v>73</v>
      </c>
      <c r="C161" s="474"/>
      <c r="D161" s="474"/>
      <c r="E161" s="372"/>
      <c r="F161" s="368">
        <f t="shared" si="7"/>
        <v>0</v>
      </c>
      <c r="G161" s="409"/>
      <c r="H161" s="400">
        <f t="shared" si="6"/>
        <v>0</v>
      </c>
      <c r="I161" s="409"/>
      <c r="J161" s="368">
        <f t="shared" si="8"/>
        <v>0</v>
      </c>
    </row>
    <row r="162" spans="1:10" ht="18.75" customHeight="1">
      <c r="A162" s="182">
        <v>7.01</v>
      </c>
      <c r="B162" s="15" t="s">
        <v>71</v>
      </c>
      <c r="C162" s="3" t="s">
        <v>28</v>
      </c>
      <c r="D162" s="112">
        <f>0.4*0.8*27.6</f>
        <v>8.8320000000000025</v>
      </c>
      <c r="E162" s="371">
        <v>85069.756862745111</v>
      </c>
      <c r="F162" s="367">
        <f t="shared" si="7"/>
        <v>751336.09261176502</v>
      </c>
      <c r="G162" s="403"/>
      <c r="H162" s="367">
        <f>SUBTOTAL(9,H163:H171)</f>
        <v>712896.87341176497</v>
      </c>
      <c r="I162" s="403">
        <v>87826.431372549036</v>
      </c>
      <c r="J162" s="367">
        <f t="shared" si="8"/>
        <v>775683.04188235325</v>
      </c>
    </row>
    <row r="163" spans="1:10" ht="18.75" customHeight="1">
      <c r="A163" s="181"/>
      <c r="B163" s="7" t="s">
        <v>29</v>
      </c>
      <c r="C163" s="8"/>
      <c r="D163" s="192"/>
      <c r="E163" s="368"/>
      <c r="F163" s="368">
        <f t="shared" si="7"/>
        <v>0</v>
      </c>
      <c r="G163" s="400"/>
      <c r="H163" s="400">
        <f t="shared" si="6"/>
        <v>0</v>
      </c>
      <c r="I163" s="400"/>
      <c r="J163" s="368">
        <f t="shared" si="8"/>
        <v>0</v>
      </c>
    </row>
    <row r="164" spans="1:10" ht="18.75" customHeight="1">
      <c r="A164" s="181"/>
      <c r="B164" s="12" t="s">
        <v>30</v>
      </c>
      <c r="C164" s="8" t="s">
        <v>28</v>
      </c>
      <c r="D164" s="128">
        <f>D162*(10/17)*1.57</f>
        <v>8.156611764705886</v>
      </c>
      <c r="E164" s="368">
        <v>33500</v>
      </c>
      <c r="F164" s="368">
        <f t="shared" si="7"/>
        <v>273246.49411764718</v>
      </c>
      <c r="G164" s="400">
        <v>15000</v>
      </c>
      <c r="H164" s="400">
        <f t="shared" si="6"/>
        <v>122349.1764705883</v>
      </c>
      <c r="I164" s="400">
        <v>25000</v>
      </c>
      <c r="J164" s="368">
        <f t="shared" si="8"/>
        <v>203915.29411764714</v>
      </c>
    </row>
    <row r="165" spans="1:10" ht="18.75" customHeight="1">
      <c r="A165" s="181"/>
      <c r="B165" s="12" t="s">
        <v>11</v>
      </c>
      <c r="C165" s="8" t="s">
        <v>31</v>
      </c>
      <c r="D165" s="113">
        <f>D162*(1/17)*1.57*(1440/50)</f>
        <v>23.491041882352949</v>
      </c>
      <c r="E165" s="368">
        <v>11200</v>
      </c>
      <c r="F165" s="368">
        <f t="shared" si="7"/>
        <v>263099.66908235301</v>
      </c>
      <c r="G165" s="400">
        <v>14000</v>
      </c>
      <c r="H165" s="400">
        <f t="shared" si="6"/>
        <v>328874.58635294129</v>
      </c>
      <c r="I165" s="400">
        <v>13500</v>
      </c>
      <c r="J165" s="368">
        <f t="shared" si="8"/>
        <v>317129.06541176484</v>
      </c>
    </row>
    <row r="166" spans="1:10" ht="18.75" customHeight="1">
      <c r="A166" s="181"/>
      <c r="B166" s="12" t="s">
        <v>32</v>
      </c>
      <c r="C166" s="8" t="s">
        <v>28</v>
      </c>
      <c r="D166" s="113">
        <f>D162*(6/17)*1.57</f>
        <v>4.8939670588235318</v>
      </c>
      <c r="E166" s="368">
        <v>32500</v>
      </c>
      <c r="F166" s="368">
        <f t="shared" si="7"/>
        <v>159053.92941176478</v>
      </c>
      <c r="G166" s="400">
        <v>27000</v>
      </c>
      <c r="H166" s="400">
        <f t="shared" si="6"/>
        <v>132137.11058823534</v>
      </c>
      <c r="I166" s="400">
        <v>40000</v>
      </c>
      <c r="J166" s="368">
        <f t="shared" si="8"/>
        <v>195758.68235294128</v>
      </c>
    </row>
    <row r="167" spans="1:10" ht="18.75" customHeight="1">
      <c r="A167" s="181"/>
      <c r="B167" s="7" t="s">
        <v>5</v>
      </c>
      <c r="C167" s="8"/>
      <c r="D167" s="128"/>
      <c r="E167" s="378"/>
      <c r="F167" s="368">
        <f t="shared" si="7"/>
        <v>0</v>
      </c>
      <c r="G167" s="400"/>
      <c r="H167" s="400">
        <f t="shared" si="6"/>
        <v>0</v>
      </c>
      <c r="I167" s="400"/>
      <c r="J167" s="368">
        <f t="shared" si="8"/>
        <v>0</v>
      </c>
    </row>
    <row r="168" spans="1:10" ht="18.75" customHeight="1">
      <c r="A168" s="181"/>
      <c r="B168" s="12"/>
      <c r="C168" s="8"/>
      <c r="D168" s="128"/>
      <c r="E168" s="368"/>
      <c r="F168" s="368">
        <f t="shared" si="7"/>
        <v>0</v>
      </c>
      <c r="G168" s="400"/>
      <c r="H168" s="400">
        <f t="shared" si="6"/>
        <v>0</v>
      </c>
      <c r="I168" s="400"/>
      <c r="J168" s="368">
        <f t="shared" si="8"/>
        <v>0</v>
      </c>
    </row>
    <row r="169" spans="1:10" ht="18.75" customHeight="1">
      <c r="A169" s="180"/>
      <c r="B169" s="7" t="s">
        <v>33</v>
      </c>
      <c r="C169" s="8"/>
      <c r="D169" s="128"/>
      <c r="E169" s="368"/>
      <c r="F169" s="368">
        <f t="shared" si="7"/>
        <v>0</v>
      </c>
      <c r="G169" s="400"/>
      <c r="H169" s="400">
        <f t="shared" si="6"/>
        <v>0</v>
      </c>
      <c r="I169" s="400"/>
      <c r="J169" s="368">
        <f t="shared" si="8"/>
        <v>0</v>
      </c>
    </row>
    <row r="170" spans="1:10" ht="18.75" customHeight="1">
      <c r="A170" s="180"/>
      <c r="B170" s="12" t="s">
        <v>34</v>
      </c>
      <c r="C170" s="8" t="s">
        <v>21</v>
      </c>
      <c r="D170" s="128">
        <f>D162/1.5</f>
        <v>5.8880000000000017</v>
      </c>
      <c r="E170" s="368">
        <v>4500</v>
      </c>
      <c r="F170" s="368">
        <f t="shared" si="7"/>
        <v>26496.000000000007</v>
      </c>
      <c r="G170" s="400">
        <v>12000</v>
      </c>
      <c r="H170" s="400">
        <f t="shared" si="6"/>
        <v>70656.000000000015</v>
      </c>
      <c r="I170" s="400">
        <v>5000</v>
      </c>
      <c r="J170" s="368">
        <f t="shared" si="8"/>
        <v>29440.000000000007</v>
      </c>
    </row>
    <row r="171" spans="1:10" ht="18.75" customHeight="1">
      <c r="A171" s="180"/>
      <c r="B171" s="12" t="s">
        <v>7</v>
      </c>
      <c r="C171" s="8" t="s">
        <v>21</v>
      </c>
      <c r="D171" s="128">
        <f>+D170*2</f>
        <v>11.776000000000003</v>
      </c>
      <c r="E171" s="368">
        <v>2500</v>
      </c>
      <c r="F171" s="368">
        <f t="shared" si="7"/>
        <v>29440.000000000007</v>
      </c>
      <c r="G171" s="400">
        <v>5000</v>
      </c>
      <c r="H171" s="400">
        <f t="shared" si="6"/>
        <v>58880.000000000015</v>
      </c>
      <c r="I171" s="400">
        <v>2500</v>
      </c>
      <c r="J171" s="368">
        <f t="shared" si="8"/>
        <v>29440.000000000007</v>
      </c>
    </row>
    <row r="172" spans="1:10" ht="18.75" customHeight="1">
      <c r="A172" s="153"/>
      <c r="B172" s="93" t="s">
        <v>9</v>
      </c>
      <c r="C172" s="27"/>
      <c r="D172" s="116"/>
      <c r="E172" s="381"/>
      <c r="F172" s="368">
        <f t="shared" si="7"/>
        <v>0</v>
      </c>
      <c r="G172" s="400"/>
      <c r="H172" s="400">
        <f t="shared" si="6"/>
        <v>0</v>
      </c>
      <c r="I172" s="400"/>
      <c r="J172" s="368">
        <f t="shared" si="8"/>
        <v>0</v>
      </c>
    </row>
    <row r="173" spans="1:10" ht="18.75" customHeight="1">
      <c r="A173" s="179">
        <v>8.01</v>
      </c>
      <c r="B173" s="15" t="s">
        <v>35</v>
      </c>
      <c r="C173" s="34" t="s">
        <v>36</v>
      </c>
      <c r="D173" s="131">
        <f>27.6*0.25</f>
        <v>6.9</v>
      </c>
      <c r="E173" s="367">
        <v>1980</v>
      </c>
      <c r="F173" s="367">
        <f t="shared" si="7"/>
        <v>13662</v>
      </c>
      <c r="G173" s="403"/>
      <c r="H173" s="367">
        <f>SUBTOTAL(9,H174:H182)</f>
        <v>18630</v>
      </c>
      <c r="I173" s="403">
        <v>4500</v>
      </c>
      <c r="J173" s="367">
        <f t="shared" si="8"/>
        <v>31050</v>
      </c>
    </row>
    <row r="174" spans="1:10" ht="18.75" customHeight="1">
      <c r="A174" s="181"/>
      <c r="B174" s="7" t="s">
        <v>29</v>
      </c>
      <c r="C174" s="8"/>
      <c r="D174" s="128"/>
      <c r="E174" s="368"/>
      <c r="F174" s="368">
        <f t="shared" si="7"/>
        <v>0</v>
      </c>
      <c r="G174" s="400"/>
      <c r="H174" s="400">
        <f t="shared" si="6"/>
        <v>0</v>
      </c>
      <c r="I174" s="400"/>
      <c r="J174" s="368">
        <f t="shared" si="8"/>
        <v>0</v>
      </c>
    </row>
    <row r="175" spans="1:10" ht="18.75" customHeight="1">
      <c r="A175" s="180"/>
      <c r="B175" s="12" t="s">
        <v>37</v>
      </c>
      <c r="C175" s="8" t="s">
        <v>38</v>
      </c>
      <c r="D175" s="128">
        <f>D173</f>
        <v>6.9</v>
      </c>
      <c r="E175" s="368">
        <v>1500</v>
      </c>
      <c r="F175" s="368">
        <f t="shared" si="7"/>
        <v>10350</v>
      </c>
      <c r="G175" s="400">
        <v>2500</v>
      </c>
      <c r="H175" s="400">
        <f t="shared" si="6"/>
        <v>17250</v>
      </c>
      <c r="I175" s="400">
        <v>4000</v>
      </c>
      <c r="J175" s="368">
        <f t="shared" si="8"/>
        <v>27600</v>
      </c>
    </row>
    <row r="176" spans="1:10" ht="18.75" customHeight="1">
      <c r="A176" s="155"/>
      <c r="B176" s="7" t="s">
        <v>5</v>
      </c>
      <c r="C176" s="11"/>
      <c r="D176" s="129"/>
      <c r="E176" s="378"/>
      <c r="F176" s="368">
        <f t="shared" si="7"/>
        <v>0</v>
      </c>
      <c r="G176" s="400"/>
      <c r="H176" s="400">
        <f t="shared" si="6"/>
        <v>0</v>
      </c>
      <c r="I176" s="400"/>
      <c r="J176" s="368">
        <f t="shared" si="8"/>
        <v>0</v>
      </c>
    </row>
    <row r="177" spans="1:10" ht="18.75" customHeight="1">
      <c r="A177" s="180"/>
      <c r="B177" s="12"/>
      <c r="C177" s="8"/>
      <c r="D177" s="128"/>
      <c r="E177" s="368"/>
      <c r="F177" s="368">
        <f t="shared" si="7"/>
        <v>0</v>
      </c>
      <c r="G177" s="400"/>
      <c r="H177" s="400">
        <f t="shared" si="6"/>
        <v>0</v>
      </c>
      <c r="I177" s="400"/>
      <c r="J177" s="368">
        <f t="shared" si="8"/>
        <v>0</v>
      </c>
    </row>
    <row r="178" spans="1:10" ht="18.75" customHeight="1">
      <c r="A178" s="214"/>
      <c r="B178" s="7" t="s">
        <v>33</v>
      </c>
      <c r="C178" s="8"/>
      <c r="D178" s="128"/>
      <c r="E178" s="368"/>
      <c r="F178" s="368">
        <f t="shared" si="7"/>
        <v>0</v>
      </c>
      <c r="G178" s="400"/>
      <c r="H178" s="400">
        <f t="shared" si="6"/>
        <v>0</v>
      </c>
      <c r="I178" s="400"/>
      <c r="J178" s="368">
        <f t="shared" si="8"/>
        <v>0</v>
      </c>
    </row>
    <row r="179" spans="1:10" ht="18.75" customHeight="1">
      <c r="A179" s="180"/>
      <c r="B179" s="12" t="s">
        <v>34</v>
      </c>
      <c r="C179" s="8" t="s">
        <v>21</v>
      </c>
      <c r="D179" s="113">
        <f>D173/100</f>
        <v>6.9000000000000006E-2</v>
      </c>
      <c r="E179" s="368">
        <v>18000</v>
      </c>
      <c r="F179" s="368">
        <f t="shared" si="7"/>
        <v>1242</v>
      </c>
      <c r="G179" s="400">
        <v>10000</v>
      </c>
      <c r="H179" s="400">
        <f t="shared" si="6"/>
        <v>690.00000000000011</v>
      </c>
      <c r="I179" s="400">
        <v>50000</v>
      </c>
      <c r="J179" s="368">
        <f t="shared" si="8"/>
        <v>3450.0000000000005</v>
      </c>
    </row>
    <row r="180" spans="1:10" ht="18.75" customHeight="1">
      <c r="A180" s="180"/>
      <c r="B180" s="12" t="s">
        <v>7</v>
      </c>
      <c r="C180" s="8" t="s">
        <v>21</v>
      </c>
      <c r="D180" s="128">
        <f>+D179*2</f>
        <v>0.13800000000000001</v>
      </c>
      <c r="E180" s="368">
        <v>15000</v>
      </c>
      <c r="F180" s="368">
        <f t="shared" si="7"/>
        <v>2070</v>
      </c>
      <c r="G180" s="400">
        <v>5000</v>
      </c>
      <c r="H180" s="400">
        <f t="shared" si="6"/>
        <v>690.00000000000011</v>
      </c>
      <c r="I180" s="400">
        <v>10000</v>
      </c>
      <c r="J180" s="368">
        <f t="shared" si="8"/>
        <v>1380.0000000000002</v>
      </c>
    </row>
    <row r="181" spans="1:10" ht="18.75" customHeight="1">
      <c r="A181" s="155"/>
      <c r="B181" s="7" t="s">
        <v>39</v>
      </c>
      <c r="C181" s="11"/>
      <c r="D181" s="129"/>
      <c r="E181" s="378"/>
      <c r="F181" s="368">
        <f t="shared" si="7"/>
        <v>0</v>
      </c>
      <c r="G181" s="400"/>
      <c r="H181" s="400">
        <f t="shared" si="6"/>
        <v>0</v>
      </c>
      <c r="I181" s="400"/>
      <c r="J181" s="368">
        <f t="shared" si="8"/>
        <v>0</v>
      </c>
    </row>
    <row r="182" spans="1:10" ht="18.75" customHeight="1">
      <c r="A182" s="155"/>
      <c r="B182" s="7"/>
      <c r="C182" s="11"/>
      <c r="D182" s="129"/>
      <c r="E182" s="378"/>
      <c r="F182" s="368">
        <f t="shared" si="7"/>
        <v>0</v>
      </c>
      <c r="G182" s="400"/>
      <c r="H182" s="400">
        <f t="shared" si="6"/>
        <v>0</v>
      </c>
      <c r="I182" s="400"/>
      <c r="J182" s="368">
        <f t="shared" si="8"/>
        <v>0</v>
      </c>
    </row>
    <row r="183" spans="1:10" s="86" customFormat="1" ht="18.75" customHeight="1">
      <c r="A183" s="153">
        <v>9</v>
      </c>
      <c r="B183" s="475" t="s">
        <v>72</v>
      </c>
      <c r="C183" s="475"/>
      <c r="D183" s="475"/>
      <c r="E183" s="376"/>
      <c r="F183" s="368">
        <f t="shared" si="7"/>
        <v>0</v>
      </c>
      <c r="G183" s="409"/>
      <c r="H183" s="400">
        <f t="shared" si="6"/>
        <v>0</v>
      </c>
      <c r="I183" s="409"/>
      <c r="J183" s="368">
        <f t="shared" si="8"/>
        <v>0</v>
      </c>
    </row>
    <row r="184" spans="1:10" ht="18.75" customHeight="1">
      <c r="A184" s="179">
        <v>9.01</v>
      </c>
      <c r="B184" s="15" t="s">
        <v>40</v>
      </c>
      <c r="C184" s="3" t="s">
        <v>1</v>
      </c>
      <c r="D184" s="112">
        <f>(27.6*3)-(7.56+2.35)</f>
        <v>72.890000000000015</v>
      </c>
      <c r="E184" s="371">
        <v>16453.284874881007</v>
      </c>
      <c r="F184" s="367">
        <f t="shared" si="7"/>
        <v>1199279.9345300768</v>
      </c>
      <c r="G184" s="403"/>
      <c r="H184" s="367">
        <f>SUBTOTAL(9,H185:H196)</f>
        <v>1422711.7020915458</v>
      </c>
      <c r="I184" s="403">
        <v>18861.190048479119</v>
      </c>
      <c r="J184" s="367">
        <f t="shared" si="8"/>
        <v>1374792.1426336432</v>
      </c>
    </row>
    <row r="185" spans="1:10" ht="18.75" customHeight="1">
      <c r="A185" s="183"/>
      <c r="B185" s="99"/>
      <c r="C185" s="19" t="s">
        <v>28</v>
      </c>
      <c r="D185" s="231">
        <f>D184*0.2</f>
        <v>14.578000000000003</v>
      </c>
      <c r="E185" s="373"/>
      <c r="F185" s="368">
        <f t="shared" si="7"/>
        <v>0</v>
      </c>
      <c r="G185" s="400"/>
      <c r="H185" s="400">
        <f t="shared" si="6"/>
        <v>0</v>
      </c>
      <c r="I185" s="400">
        <v>94306</v>
      </c>
      <c r="J185" s="368">
        <f t="shared" si="8"/>
        <v>1374792.8680000002</v>
      </c>
    </row>
    <row r="186" spans="1:10" ht="18.75" customHeight="1">
      <c r="A186" s="180"/>
      <c r="B186" s="7" t="s">
        <v>2</v>
      </c>
      <c r="C186" s="8"/>
      <c r="D186" s="128"/>
      <c r="E186" s="368"/>
      <c r="F186" s="368">
        <f t="shared" si="7"/>
        <v>0</v>
      </c>
      <c r="G186" s="400"/>
      <c r="H186" s="400">
        <f t="shared" si="6"/>
        <v>0</v>
      </c>
      <c r="I186" s="400"/>
      <c r="J186" s="368">
        <f t="shared" si="8"/>
        <v>0</v>
      </c>
    </row>
    <row r="187" spans="1:10" ht="18.75" customHeight="1">
      <c r="A187" s="180"/>
      <c r="B187" s="46" t="s">
        <v>41</v>
      </c>
      <c r="C187" s="8" t="s">
        <v>31</v>
      </c>
      <c r="D187" s="113">
        <f>D185*0.2439*(1/7)*1.54*(1440/50)</f>
        <v>22.528118131200007</v>
      </c>
      <c r="E187" s="368">
        <v>11200</v>
      </c>
      <c r="F187" s="368">
        <f t="shared" si="7"/>
        <v>252314.92306944006</v>
      </c>
      <c r="G187" s="400">
        <v>14000</v>
      </c>
      <c r="H187" s="400">
        <f t="shared" si="6"/>
        <v>315393.65383680008</v>
      </c>
      <c r="I187" s="400">
        <v>13500</v>
      </c>
      <c r="J187" s="368">
        <f t="shared" si="8"/>
        <v>304129.59477120009</v>
      </c>
    </row>
    <row r="188" spans="1:10" ht="18.75" customHeight="1">
      <c r="A188" s="180"/>
      <c r="B188" s="46" t="s">
        <v>42</v>
      </c>
      <c r="C188" s="8" t="s">
        <v>28</v>
      </c>
      <c r="D188" s="113">
        <f>D185*0.2439*(6/7)*1.54</f>
        <v>4.6933579440000015</v>
      </c>
      <c r="E188" s="368">
        <v>30500</v>
      </c>
      <c r="F188" s="368">
        <f t="shared" si="7"/>
        <v>143147.41729200006</v>
      </c>
      <c r="G188" s="400">
        <v>27000</v>
      </c>
      <c r="H188" s="400">
        <f t="shared" si="6"/>
        <v>126720.66448800004</v>
      </c>
      <c r="I188" s="400">
        <v>40000</v>
      </c>
      <c r="J188" s="368">
        <f t="shared" si="8"/>
        <v>187734.31776000006</v>
      </c>
    </row>
    <row r="189" spans="1:10" ht="18.75" customHeight="1">
      <c r="A189" s="180"/>
      <c r="B189" s="46" t="s">
        <v>43</v>
      </c>
      <c r="C189" s="8" t="s">
        <v>44</v>
      </c>
      <c r="D189" s="113">
        <f>D185*1.15/(0.235*0.1125*0.075)</f>
        <v>8455.010244286841</v>
      </c>
      <c r="E189" s="368">
        <v>58</v>
      </c>
      <c r="F189" s="368">
        <f t="shared" si="7"/>
        <v>490390.59416863677</v>
      </c>
      <c r="G189" s="400">
        <v>70</v>
      </c>
      <c r="H189" s="400">
        <f t="shared" si="6"/>
        <v>591850.71710007882</v>
      </c>
      <c r="I189" s="400">
        <v>55</v>
      </c>
      <c r="J189" s="368">
        <f t="shared" si="8"/>
        <v>465025.56343577628</v>
      </c>
    </row>
    <row r="190" spans="1:10" ht="18.75" customHeight="1">
      <c r="A190" s="155"/>
      <c r="B190" s="57" t="s">
        <v>5</v>
      </c>
      <c r="C190" s="11"/>
      <c r="D190" s="116"/>
      <c r="E190" s="378"/>
      <c r="F190" s="368">
        <f t="shared" si="7"/>
        <v>0</v>
      </c>
      <c r="G190" s="400"/>
      <c r="H190" s="400">
        <f t="shared" si="6"/>
        <v>0</v>
      </c>
      <c r="I190" s="400"/>
      <c r="J190" s="368">
        <f t="shared" si="8"/>
        <v>0</v>
      </c>
    </row>
    <row r="191" spans="1:10" ht="18.75" customHeight="1">
      <c r="A191" s="180"/>
      <c r="B191" s="46"/>
      <c r="C191" s="8"/>
      <c r="D191" s="113"/>
      <c r="E191" s="368"/>
      <c r="F191" s="368">
        <f t="shared" si="7"/>
        <v>0</v>
      </c>
      <c r="G191" s="400"/>
      <c r="H191" s="400">
        <f t="shared" si="6"/>
        <v>0</v>
      </c>
      <c r="I191" s="400"/>
      <c r="J191" s="368">
        <f t="shared" si="8"/>
        <v>0</v>
      </c>
    </row>
    <row r="192" spans="1:10" ht="18.75" customHeight="1">
      <c r="A192" s="180"/>
      <c r="B192" s="7" t="s">
        <v>6</v>
      </c>
      <c r="C192" s="8"/>
      <c r="D192" s="128"/>
      <c r="E192" s="368"/>
      <c r="F192" s="368">
        <f t="shared" si="7"/>
        <v>0</v>
      </c>
      <c r="G192" s="400"/>
      <c r="H192" s="400">
        <f t="shared" si="6"/>
        <v>0</v>
      </c>
      <c r="I192" s="400"/>
      <c r="J192" s="368">
        <f t="shared" si="8"/>
        <v>0</v>
      </c>
    </row>
    <row r="193" spans="1:10" ht="18.75" customHeight="1">
      <c r="A193" s="180"/>
      <c r="B193" s="12" t="s">
        <v>34</v>
      </c>
      <c r="C193" s="8" t="s">
        <v>8</v>
      </c>
      <c r="D193" s="128">
        <f>D185/1</f>
        <v>14.578000000000003</v>
      </c>
      <c r="E193" s="368">
        <v>6500</v>
      </c>
      <c r="F193" s="368">
        <f t="shared" si="7"/>
        <v>94757.000000000015</v>
      </c>
      <c r="G193" s="400">
        <v>10000</v>
      </c>
      <c r="H193" s="400">
        <f t="shared" si="6"/>
        <v>145780.00000000003</v>
      </c>
      <c r="I193" s="400">
        <v>12000</v>
      </c>
      <c r="J193" s="368">
        <f t="shared" si="8"/>
        <v>174936.00000000003</v>
      </c>
    </row>
    <row r="194" spans="1:10" ht="18.75" customHeight="1">
      <c r="A194" s="180"/>
      <c r="B194" s="12" t="s">
        <v>7</v>
      </c>
      <c r="C194" s="8" t="s">
        <v>8</v>
      </c>
      <c r="D194" s="113">
        <f>(D185/1.2)*4</f>
        <v>48.593333333333348</v>
      </c>
      <c r="E194" s="368">
        <v>4500</v>
      </c>
      <c r="F194" s="368">
        <f t="shared" si="7"/>
        <v>218670.00000000006</v>
      </c>
      <c r="G194" s="400">
        <v>5000</v>
      </c>
      <c r="H194" s="400">
        <f t="shared" si="6"/>
        <v>242966.66666666674</v>
      </c>
      <c r="I194" s="400">
        <v>5000</v>
      </c>
      <c r="J194" s="368">
        <f t="shared" si="8"/>
        <v>242966.66666666674</v>
      </c>
    </row>
    <row r="195" spans="1:10" ht="18.75" customHeight="1">
      <c r="A195" s="159"/>
      <c r="B195" s="57" t="s">
        <v>9</v>
      </c>
      <c r="C195" s="58"/>
      <c r="D195" s="13"/>
      <c r="E195" s="369"/>
      <c r="F195" s="368">
        <f t="shared" si="7"/>
        <v>0</v>
      </c>
      <c r="G195" s="400"/>
      <c r="H195" s="400">
        <f t="shared" si="6"/>
        <v>0</v>
      </c>
      <c r="I195" s="400"/>
      <c r="J195" s="368">
        <f t="shared" si="8"/>
        <v>0</v>
      </c>
    </row>
    <row r="196" spans="1:10" ht="18.75" customHeight="1">
      <c r="A196" s="159"/>
      <c r="B196" s="57"/>
      <c r="C196" s="58"/>
      <c r="D196" s="13"/>
      <c r="E196" s="369"/>
      <c r="F196" s="368">
        <f t="shared" si="7"/>
        <v>0</v>
      </c>
      <c r="G196" s="400"/>
      <c r="H196" s="400">
        <f t="shared" si="6"/>
        <v>0</v>
      </c>
      <c r="I196" s="400"/>
      <c r="J196" s="368">
        <f t="shared" si="8"/>
        <v>0</v>
      </c>
    </row>
    <row r="197" spans="1:10" s="60" customFormat="1" ht="18.75" customHeight="1">
      <c r="A197" s="159">
        <v>10</v>
      </c>
      <c r="B197" s="467" t="s">
        <v>79</v>
      </c>
      <c r="C197" s="467"/>
      <c r="D197" s="467"/>
      <c r="E197" s="372"/>
      <c r="F197" s="368">
        <f t="shared" si="7"/>
        <v>0</v>
      </c>
      <c r="G197" s="407"/>
      <c r="H197" s="400">
        <f t="shared" si="6"/>
        <v>0</v>
      </c>
      <c r="I197" s="407"/>
      <c r="J197" s="368">
        <f t="shared" si="8"/>
        <v>0</v>
      </c>
    </row>
    <row r="198" spans="1:10" ht="18.75" customHeight="1">
      <c r="A198" s="179">
        <v>10.01</v>
      </c>
      <c r="B198" s="2" t="s">
        <v>74</v>
      </c>
      <c r="C198" s="14" t="s">
        <v>45</v>
      </c>
      <c r="D198" s="160">
        <f>8.7*0.25*0.2</f>
        <v>0.435</v>
      </c>
      <c r="E198" s="371">
        <v>150864.79860627177</v>
      </c>
      <c r="F198" s="367">
        <f t="shared" si="7"/>
        <v>65626.187393728222</v>
      </c>
      <c r="G198" s="403"/>
      <c r="H198" s="367">
        <f>SUBTOTAL(9,H199:H216)</f>
        <v>69570.990905923347</v>
      </c>
      <c r="I198" s="403">
        <v>300000</v>
      </c>
      <c r="J198" s="367">
        <f t="shared" si="8"/>
        <v>130500</v>
      </c>
    </row>
    <row r="199" spans="1:10" ht="18.75" customHeight="1">
      <c r="A199" s="214"/>
      <c r="B199" s="161" t="s">
        <v>29</v>
      </c>
      <c r="C199" s="162"/>
      <c r="D199" s="232"/>
      <c r="E199" s="379"/>
      <c r="F199" s="368">
        <f t="shared" si="7"/>
        <v>0</v>
      </c>
      <c r="G199" s="400"/>
      <c r="H199" s="400">
        <f t="shared" ref="H199:H262" si="9">D199*G199</f>
        <v>0</v>
      </c>
      <c r="I199" s="400"/>
      <c r="J199" s="368">
        <f t="shared" si="8"/>
        <v>0</v>
      </c>
    </row>
    <row r="200" spans="1:10" ht="18.75" customHeight="1">
      <c r="A200" s="214"/>
      <c r="B200" s="164" t="s">
        <v>14</v>
      </c>
      <c r="C200" s="17" t="s">
        <v>45</v>
      </c>
      <c r="D200" s="232">
        <f>D198*(4/7)*1.57</f>
        <v>0.39025714285714286</v>
      </c>
      <c r="E200" s="379">
        <v>48000</v>
      </c>
      <c r="F200" s="368">
        <f t="shared" ref="F200:F263" si="10">D200*E200</f>
        <v>18732.342857142856</v>
      </c>
      <c r="G200" s="400">
        <v>27000</v>
      </c>
      <c r="H200" s="400">
        <f t="shared" si="9"/>
        <v>10536.942857142858</v>
      </c>
      <c r="I200" s="400">
        <v>48312</v>
      </c>
      <c r="J200" s="368">
        <f t="shared" ref="J200:J263" si="11">D200*I200</f>
        <v>18854.103085714287</v>
      </c>
    </row>
    <row r="201" spans="1:10" ht="18.75" customHeight="1">
      <c r="A201" s="214"/>
      <c r="B201" s="164" t="s">
        <v>13</v>
      </c>
      <c r="C201" s="17" t="s">
        <v>45</v>
      </c>
      <c r="D201" s="232">
        <f>D198*(2/7)*1.54</f>
        <v>0.19139999999999999</v>
      </c>
      <c r="E201" s="379">
        <v>36500</v>
      </c>
      <c r="F201" s="368">
        <f t="shared" si="10"/>
        <v>6986.0999999999995</v>
      </c>
      <c r="G201" s="400">
        <v>25000</v>
      </c>
      <c r="H201" s="400">
        <f t="shared" si="9"/>
        <v>4785</v>
      </c>
      <c r="I201" s="400">
        <v>40000</v>
      </c>
      <c r="J201" s="368">
        <f t="shared" si="11"/>
        <v>7655.9999999999991</v>
      </c>
    </row>
    <row r="202" spans="1:10" ht="19.5">
      <c r="A202" s="214"/>
      <c r="B202" s="164" t="s">
        <v>11</v>
      </c>
      <c r="C202" s="162" t="s">
        <v>12</v>
      </c>
      <c r="D202" s="232">
        <f>D198*(1/7)*1.57*(1440/50)</f>
        <v>2.8098514285714287</v>
      </c>
      <c r="E202" s="379">
        <v>11200</v>
      </c>
      <c r="F202" s="368">
        <f t="shared" si="10"/>
        <v>31470.335999999999</v>
      </c>
      <c r="G202" s="400">
        <v>14000</v>
      </c>
      <c r="H202" s="400">
        <f t="shared" si="9"/>
        <v>39337.919999999998</v>
      </c>
      <c r="I202" s="400">
        <v>13500</v>
      </c>
      <c r="J202" s="368">
        <f t="shared" si="11"/>
        <v>37932.994285714289</v>
      </c>
    </row>
    <row r="203" spans="1:10" ht="19.5">
      <c r="A203" s="186"/>
      <c r="B203" s="98" t="s">
        <v>15</v>
      </c>
      <c r="C203" s="53" t="s">
        <v>16</v>
      </c>
      <c r="D203" s="130">
        <f>D208*10</f>
        <v>0.72499999999999998</v>
      </c>
      <c r="E203" s="377">
        <v>2200</v>
      </c>
      <c r="F203" s="368">
        <f t="shared" si="10"/>
        <v>1595</v>
      </c>
      <c r="G203" s="400">
        <v>2000</v>
      </c>
      <c r="H203" s="400">
        <f t="shared" si="9"/>
        <v>1450</v>
      </c>
      <c r="I203" s="400">
        <v>2000</v>
      </c>
      <c r="J203" s="368">
        <f t="shared" si="11"/>
        <v>1450</v>
      </c>
    </row>
    <row r="204" spans="1:10" ht="19.5">
      <c r="A204" s="186"/>
      <c r="B204" s="98" t="s">
        <v>17</v>
      </c>
      <c r="C204" s="53" t="s">
        <v>16</v>
      </c>
      <c r="D204" s="130">
        <f>D209*5</f>
        <v>0.36249999999999999</v>
      </c>
      <c r="E204" s="377">
        <v>1900</v>
      </c>
      <c r="F204" s="368">
        <f t="shared" si="10"/>
        <v>688.75</v>
      </c>
      <c r="G204" s="400">
        <v>2500</v>
      </c>
      <c r="H204" s="400">
        <f t="shared" si="9"/>
        <v>906.25</v>
      </c>
      <c r="I204" s="400">
        <v>3000</v>
      </c>
      <c r="J204" s="368">
        <f t="shared" si="11"/>
        <v>1087.5</v>
      </c>
    </row>
    <row r="205" spans="1:10" ht="19.5">
      <c r="A205" s="214"/>
      <c r="B205" s="161" t="s">
        <v>5</v>
      </c>
      <c r="C205" s="162"/>
      <c r="D205" s="232"/>
      <c r="E205" s="385"/>
      <c r="F205" s="368">
        <f t="shared" si="10"/>
        <v>0</v>
      </c>
      <c r="G205" s="400"/>
      <c r="H205" s="400">
        <f t="shared" si="9"/>
        <v>0</v>
      </c>
      <c r="I205" s="400"/>
      <c r="J205" s="368">
        <f t="shared" si="11"/>
        <v>0</v>
      </c>
    </row>
    <row r="206" spans="1:10" ht="19.5">
      <c r="A206" s="214"/>
      <c r="B206" s="164"/>
      <c r="C206" s="162"/>
      <c r="D206" s="232"/>
      <c r="E206" s="379"/>
      <c r="F206" s="368">
        <f t="shared" si="10"/>
        <v>0</v>
      </c>
      <c r="G206" s="400"/>
      <c r="H206" s="400">
        <f t="shared" si="9"/>
        <v>0</v>
      </c>
      <c r="I206" s="400"/>
      <c r="J206" s="368">
        <f t="shared" si="11"/>
        <v>0</v>
      </c>
    </row>
    <row r="207" spans="1:10" ht="19.5">
      <c r="A207" s="186"/>
      <c r="B207" s="97" t="s">
        <v>19</v>
      </c>
      <c r="C207" s="53"/>
      <c r="D207" s="130"/>
      <c r="E207" s="377"/>
      <c r="F207" s="368">
        <f t="shared" si="10"/>
        <v>0</v>
      </c>
      <c r="G207" s="400"/>
      <c r="H207" s="400">
        <f t="shared" si="9"/>
        <v>0</v>
      </c>
      <c r="I207" s="400"/>
      <c r="J207" s="368">
        <f t="shared" si="11"/>
        <v>0</v>
      </c>
    </row>
    <row r="208" spans="1:10" ht="16.5" customHeight="1">
      <c r="A208" s="186"/>
      <c r="B208" s="98" t="s">
        <v>20</v>
      </c>
      <c r="C208" s="53" t="s">
        <v>21</v>
      </c>
      <c r="D208" s="130">
        <f>D198/6</f>
        <v>7.2499999999999995E-2</v>
      </c>
      <c r="E208" s="377">
        <v>15000</v>
      </c>
      <c r="F208" s="368">
        <f t="shared" si="10"/>
        <v>1087.5</v>
      </c>
      <c r="G208" s="400">
        <v>50000</v>
      </c>
      <c r="H208" s="400">
        <f t="shared" si="9"/>
        <v>3624.9999999999995</v>
      </c>
      <c r="I208" s="400">
        <v>80000</v>
      </c>
      <c r="J208" s="368">
        <f t="shared" si="11"/>
        <v>5800</v>
      </c>
    </row>
    <row r="209" spans="1:10" ht="16.5" customHeight="1">
      <c r="A209" s="186"/>
      <c r="B209" s="98" t="s">
        <v>22</v>
      </c>
      <c r="C209" s="53" t="s">
        <v>21</v>
      </c>
      <c r="D209" s="130">
        <f>D198/6</f>
        <v>7.2499999999999995E-2</v>
      </c>
      <c r="E209" s="377">
        <v>15000</v>
      </c>
      <c r="F209" s="368">
        <f t="shared" si="10"/>
        <v>1087.5</v>
      </c>
      <c r="G209" s="400">
        <v>50000</v>
      </c>
      <c r="H209" s="400">
        <f t="shared" si="9"/>
        <v>3624.9999999999995</v>
      </c>
      <c r="I209" s="400">
        <v>40000</v>
      </c>
      <c r="J209" s="368">
        <f t="shared" si="11"/>
        <v>2900</v>
      </c>
    </row>
    <row r="210" spans="1:10" ht="19.5">
      <c r="A210" s="187"/>
      <c r="B210" s="97" t="s">
        <v>23</v>
      </c>
      <c r="C210" s="54"/>
      <c r="D210" s="119"/>
      <c r="E210" s="384"/>
      <c r="F210" s="368">
        <f t="shared" si="10"/>
        <v>0</v>
      </c>
      <c r="G210" s="400"/>
      <c r="H210" s="400">
        <f t="shared" si="9"/>
        <v>0</v>
      </c>
      <c r="I210" s="400"/>
      <c r="J210" s="368">
        <f t="shared" si="11"/>
        <v>0</v>
      </c>
    </row>
    <row r="211" spans="1:10" ht="19.5">
      <c r="A211" s="187"/>
      <c r="B211" s="97"/>
      <c r="C211" s="54"/>
      <c r="D211" s="119"/>
      <c r="E211" s="384"/>
      <c r="F211" s="368">
        <f t="shared" si="10"/>
        <v>0</v>
      </c>
      <c r="G211" s="400"/>
      <c r="H211" s="400">
        <f t="shared" si="9"/>
        <v>0</v>
      </c>
      <c r="I211" s="400"/>
      <c r="J211" s="368">
        <f t="shared" si="11"/>
        <v>0</v>
      </c>
    </row>
    <row r="212" spans="1:10" ht="19.5">
      <c r="A212" s="217"/>
      <c r="B212" s="161" t="s">
        <v>33</v>
      </c>
      <c r="C212" s="162"/>
      <c r="D212" s="232"/>
      <c r="E212" s="379"/>
      <c r="F212" s="368">
        <f t="shared" si="10"/>
        <v>0</v>
      </c>
      <c r="G212" s="400"/>
      <c r="H212" s="400">
        <f t="shared" si="9"/>
        <v>0</v>
      </c>
      <c r="I212" s="400"/>
      <c r="J212" s="368">
        <f t="shared" si="11"/>
        <v>0</v>
      </c>
    </row>
    <row r="213" spans="1:10" ht="19.5">
      <c r="A213" s="217"/>
      <c r="B213" s="164" t="s">
        <v>34</v>
      </c>
      <c r="C213" s="162" t="s">
        <v>21</v>
      </c>
      <c r="D213" s="232">
        <f>D198/1.64</f>
        <v>0.2652439024390244</v>
      </c>
      <c r="E213" s="379">
        <v>6000</v>
      </c>
      <c r="F213" s="368">
        <f t="shared" si="10"/>
        <v>1591.4634146341464</v>
      </c>
      <c r="G213" s="400">
        <v>10000</v>
      </c>
      <c r="H213" s="400">
        <f t="shared" si="9"/>
        <v>2652.439024390244</v>
      </c>
      <c r="I213" s="400">
        <v>56676</v>
      </c>
      <c r="J213" s="368">
        <f t="shared" si="11"/>
        <v>15032.963414634147</v>
      </c>
    </row>
    <row r="214" spans="1:10" ht="19.5">
      <c r="A214" s="217"/>
      <c r="B214" s="164" t="s">
        <v>7</v>
      </c>
      <c r="C214" s="162" t="s">
        <v>21</v>
      </c>
      <c r="D214" s="232">
        <f>+D213*2</f>
        <v>0.53048780487804881</v>
      </c>
      <c r="E214" s="379">
        <v>4500</v>
      </c>
      <c r="F214" s="368">
        <f t="shared" si="10"/>
        <v>2387.1951219512198</v>
      </c>
      <c r="G214" s="400">
        <v>5000</v>
      </c>
      <c r="H214" s="400">
        <f t="shared" si="9"/>
        <v>2652.439024390244</v>
      </c>
      <c r="I214" s="400">
        <v>75000</v>
      </c>
      <c r="J214" s="368">
        <f t="shared" si="11"/>
        <v>39786.585365853658</v>
      </c>
    </row>
    <row r="215" spans="1:10" s="60" customFormat="1" ht="19.5">
      <c r="A215" s="169"/>
      <c r="B215" s="161" t="s">
        <v>119</v>
      </c>
      <c r="C215" s="167"/>
      <c r="D215" s="233"/>
      <c r="E215" s="385"/>
      <c r="F215" s="368">
        <f t="shared" si="10"/>
        <v>0</v>
      </c>
      <c r="G215" s="407"/>
      <c r="H215" s="400">
        <f t="shared" si="9"/>
        <v>0</v>
      </c>
      <c r="I215" s="407"/>
      <c r="J215" s="368">
        <f t="shared" si="11"/>
        <v>0</v>
      </c>
    </row>
    <row r="216" spans="1:10" ht="19.5">
      <c r="A216" s="217"/>
      <c r="B216" s="164"/>
      <c r="C216" s="162"/>
      <c r="D216" s="232"/>
      <c r="E216" s="379"/>
      <c r="F216" s="368">
        <f t="shared" si="10"/>
        <v>0</v>
      </c>
      <c r="G216" s="400"/>
      <c r="H216" s="400">
        <f t="shared" si="9"/>
        <v>0</v>
      </c>
      <c r="I216" s="400"/>
      <c r="J216" s="368">
        <f t="shared" si="11"/>
        <v>0</v>
      </c>
    </row>
    <row r="217" spans="1:10" s="60" customFormat="1" ht="19.5">
      <c r="A217" s="169">
        <v>11</v>
      </c>
      <c r="B217" s="468" t="s">
        <v>76</v>
      </c>
      <c r="C217" s="468"/>
      <c r="D217" s="468"/>
      <c r="E217" s="372"/>
      <c r="F217" s="368">
        <f t="shared" si="10"/>
        <v>0</v>
      </c>
      <c r="G217" s="407"/>
      <c r="H217" s="400">
        <f t="shared" si="9"/>
        <v>0</v>
      </c>
      <c r="I217" s="407"/>
      <c r="J217" s="368">
        <f t="shared" si="11"/>
        <v>0</v>
      </c>
    </row>
    <row r="218" spans="1:10" ht="19.5">
      <c r="A218" s="179">
        <v>11.01</v>
      </c>
      <c r="B218" s="95" t="s">
        <v>75</v>
      </c>
      <c r="C218" s="39" t="s">
        <v>36</v>
      </c>
      <c r="D218" s="112">
        <f>46.8+28</f>
        <v>74.8</v>
      </c>
      <c r="E218" s="380">
        <v>10706.829694561777</v>
      </c>
      <c r="F218" s="367">
        <f t="shared" si="10"/>
        <v>800870.86115322087</v>
      </c>
      <c r="G218" s="403"/>
      <c r="H218" s="367">
        <f>SUBTOTAL(9,H219:H236)</f>
        <v>570554.17315822397</v>
      </c>
      <c r="I218" s="403">
        <v>13749.998915468561</v>
      </c>
      <c r="J218" s="367">
        <f t="shared" si="11"/>
        <v>1028499.9188770483</v>
      </c>
    </row>
    <row r="219" spans="1:10" ht="19.5">
      <c r="A219" s="183"/>
      <c r="B219" s="18"/>
      <c r="C219" s="19"/>
      <c r="D219" s="130">
        <f>D218*0.05</f>
        <v>3.74</v>
      </c>
      <c r="E219" s="373"/>
      <c r="F219" s="368">
        <f t="shared" si="10"/>
        <v>0</v>
      </c>
      <c r="G219" s="400"/>
      <c r="H219" s="400">
        <f t="shared" si="9"/>
        <v>0</v>
      </c>
      <c r="I219" s="400">
        <v>200000</v>
      </c>
      <c r="J219" s="368">
        <f t="shared" si="11"/>
        <v>748000</v>
      </c>
    </row>
    <row r="220" spans="1:10" ht="19.5">
      <c r="A220" s="184"/>
      <c r="B220" s="93" t="s">
        <v>2</v>
      </c>
      <c r="C220" s="22"/>
      <c r="D220" s="113"/>
      <c r="E220" s="374"/>
      <c r="F220" s="368">
        <f t="shared" si="10"/>
        <v>0</v>
      </c>
      <c r="G220" s="400"/>
      <c r="H220" s="400">
        <f t="shared" si="9"/>
        <v>0</v>
      </c>
      <c r="I220" s="400"/>
      <c r="J220" s="368">
        <f t="shared" si="11"/>
        <v>0</v>
      </c>
    </row>
    <row r="221" spans="1:10" ht="19.5">
      <c r="A221" s="181"/>
      <c r="B221" s="12" t="s">
        <v>30</v>
      </c>
      <c r="C221" s="8" t="s">
        <v>28</v>
      </c>
      <c r="D221" s="128">
        <f>D218*0.1*1.5</f>
        <v>11.22</v>
      </c>
      <c r="E221" s="368">
        <v>25500</v>
      </c>
      <c r="F221" s="368">
        <f t="shared" si="10"/>
        <v>286110</v>
      </c>
      <c r="G221" s="400">
        <v>15000</v>
      </c>
      <c r="H221" s="400">
        <f t="shared" si="9"/>
        <v>168300</v>
      </c>
      <c r="I221" s="400">
        <v>25000</v>
      </c>
      <c r="J221" s="368">
        <f t="shared" si="11"/>
        <v>280500</v>
      </c>
    </row>
    <row r="222" spans="1:10" ht="19.5">
      <c r="A222" s="184"/>
      <c r="B222" s="94" t="s">
        <v>11</v>
      </c>
      <c r="C222" s="22" t="s">
        <v>12</v>
      </c>
      <c r="D222" s="128">
        <f>D219*(1/13)*1.57*(1440/50)</f>
        <v>13.008295384615389</v>
      </c>
      <c r="E222" s="374">
        <v>11200</v>
      </c>
      <c r="F222" s="368">
        <f t="shared" si="10"/>
        <v>145692.90830769236</v>
      </c>
      <c r="G222" s="400">
        <v>14000</v>
      </c>
      <c r="H222" s="400">
        <f t="shared" si="9"/>
        <v>182116.13538461545</v>
      </c>
      <c r="I222" s="400">
        <v>13500</v>
      </c>
      <c r="J222" s="368">
        <f t="shared" si="11"/>
        <v>175611.98769230774</v>
      </c>
    </row>
    <row r="223" spans="1:10" ht="19.5">
      <c r="A223" s="184"/>
      <c r="B223" s="94" t="s">
        <v>13</v>
      </c>
      <c r="C223" s="22" t="s">
        <v>10</v>
      </c>
      <c r="D223" s="128">
        <f>D219*(4/13)*1.57</f>
        <v>1.8067076923076928</v>
      </c>
      <c r="E223" s="374">
        <v>36500</v>
      </c>
      <c r="F223" s="368">
        <f t="shared" si="10"/>
        <v>65944.830769230786</v>
      </c>
      <c r="G223" s="400">
        <v>25000</v>
      </c>
      <c r="H223" s="400">
        <f t="shared" si="9"/>
        <v>45167.692307692319</v>
      </c>
      <c r="I223" s="400">
        <v>40000</v>
      </c>
      <c r="J223" s="368">
        <f t="shared" si="11"/>
        <v>72268.307692307717</v>
      </c>
    </row>
    <row r="224" spans="1:10" ht="19.5">
      <c r="A224" s="184"/>
      <c r="B224" s="94" t="s">
        <v>14</v>
      </c>
      <c r="C224" s="22" t="s">
        <v>10</v>
      </c>
      <c r="D224" s="128">
        <f>D219*(8/13)*1.57</f>
        <v>3.6134153846153856</v>
      </c>
      <c r="E224" s="374">
        <v>43500</v>
      </c>
      <c r="F224" s="368">
        <f t="shared" si="10"/>
        <v>157183.56923076927</v>
      </c>
      <c r="G224" s="400">
        <v>27000</v>
      </c>
      <c r="H224" s="400">
        <f t="shared" si="9"/>
        <v>97562.215384615411</v>
      </c>
      <c r="I224" s="400">
        <v>48312</v>
      </c>
      <c r="J224" s="368">
        <f t="shared" si="11"/>
        <v>174571.3240615385</v>
      </c>
    </row>
    <row r="225" spans="1:10" ht="16.5" customHeight="1">
      <c r="A225" s="153"/>
      <c r="B225" s="93" t="s">
        <v>18</v>
      </c>
      <c r="C225" s="27"/>
      <c r="D225" s="116"/>
      <c r="E225" s="381"/>
      <c r="F225" s="368">
        <f t="shared" si="10"/>
        <v>0</v>
      </c>
      <c r="G225" s="400"/>
      <c r="H225" s="400">
        <f t="shared" si="9"/>
        <v>0</v>
      </c>
      <c r="I225" s="400"/>
      <c r="J225" s="368">
        <f t="shared" si="11"/>
        <v>0</v>
      </c>
    </row>
    <row r="226" spans="1:10" ht="19.5">
      <c r="A226" s="153"/>
      <c r="B226" s="93"/>
      <c r="C226" s="27"/>
      <c r="D226" s="116"/>
      <c r="E226" s="381"/>
      <c r="F226" s="368">
        <f t="shared" si="10"/>
        <v>0</v>
      </c>
      <c r="G226" s="400"/>
      <c r="H226" s="400">
        <f t="shared" si="9"/>
        <v>0</v>
      </c>
      <c r="I226" s="400"/>
      <c r="J226" s="368">
        <f t="shared" si="11"/>
        <v>0</v>
      </c>
    </row>
    <row r="227" spans="1:10" ht="19.5">
      <c r="A227" s="186"/>
      <c r="B227" s="97" t="s">
        <v>19</v>
      </c>
      <c r="C227" s="53"/>
      <c r="D227" s="130"/>
      <c r="E227" s="377"/>
      <c r="F227" s="368">
        <f t="shared" si="10"/>
        <v>0</v>
      </c>
      <c r="G227" s="400"/>
      <c r="H227" s="400">
        <f t="shared" si="9"/>
        <v>0</v>
      </c>
      <c r="I227" s="400"/>
      <c r="J227" s="368">
        <f t="shared" si="11"/>
        <v>0</v>
      </c>
    </row>
    <row r="228" spans="1:10" ht="19.5">
      <c r="A228" s="186"/>
      <c r="B228" s="98" t="s">
        <v>20</v>
      </c>
      <c r="C228" s="53" t="s">
        <v>21</v>
      </c>
      <c r="D228" s="130">
        <f>D214/6</f>
        <v>8.8414634146341473E-2</v>
      </c>
      <c r="E228" s="377">
        <v>8500</v>
      </c>
      <c r="F228" s="368">
        <f t="shared" si="10"/>
        <v>751.52439024390253</v>
      </c>
      <c r="G228" s="400">
        <v>50000</v>
      </c>
      <c r="H228" s="400">
        <f t="shared" si="9"/>
        <v>4420.7317073170734</v>
      </c>
      <c r="I228" s="400">
        <v>80000</v>
      </c>
      <c r="J228" s="368">
        <f t="shared" si="11"/>
        <v>7073.1707317073178</v>
      </c>
    </row>
    <row r="229" spans="1:10" ht="16.5" customHeight="1">
      <c r="A229" s="186"/>
      <c r="B229" s="98" t="s">
        <v>22</v>
      </c>
      <c r="C229" s="53" t="s">
        <v>21</v>
      </c>
      <c r="D229" s="130">
        <f>D214/6</f>
        <v>8.8414634146341473E-2</v>
      </c>
      <c r="E229" s="377">
        <v>6500</v>
      </c>
      <c r="F229" s="368">
        <f t="shared" si="10"/>
        <v>574.69512195121956</v>
      </c>
      <c r="G229" s="400">
        <v>50000</v>
      </c>
      <c r="H229" s="400">
        <f t="shared" si="9"/>
        <v>4420.7317073170734</v>
      </c>
      <c r="I229" s="400">
        <v>40000</v>
      </c>
      <c r="J229" s="368">
        <f t="shared" si="11"/>
        <v>3536.5853658536589</v>
      </c>
    </row>
    <row r="230" spans="1:10" ht="19.5">
      <c r="A230" s="187"/>
      <c r="B230" s="97" t="s">
        <v>23</v>
      </c>
      <c r="C230" s="54"/>
      <c r="D230" s="119"/>
      <c r="E230" s="384"/>
      <c r="F230" s="368">
        <f t="shared" si="10"/>
        <v>0</v>
      </c>
      <c r="G230" s="400"/>
      <c r="H230" s="400">
        <f t="shared" si="9"/>
        <v>0</v>
      </c>
      <c r="I230" s="400"/>
      <c r="J230" s="368">
        <f t="shared" si="11"/>
        <v>0</v>
      </c>
    </row>
    <row r="231" spans="1:10" ht="19.5">
      <c r="A231" s="186"/>
      <c r="B231" s="98"/>
      <c r="C231" s="53"/>
      <c r="D231" s="130"/>
      <c r="E231" s="377"/>
      <c r="F231" s="368">
        <f t="shared" si="10"/>
        <v>0</v>
      </c>
      <c r="G231" s="400"/>
      <c r="H231" s="400">
        <f t="shared" si="9"/>
        <v>0</v>
      </c>
      <c r="I231" s="400"/>
      <c r="J231" s="368">
        <f t="shared" si="11"/>
        <v>0</v>
      </c>
    </row>
    <row r="232" spans="1:10" ht="19.5">
      <c r="A232" s="184"/>
      <c r="B232" s="93" t="s">
        <v>6</v>
      </c>
      <c r="C232" s="22"/>
      <c r="D232" s="113"/>
      <c r="E232" s="374"/>
      <c r="F232" s="368">
        <f t="shared" si="10"/>
        <v>0</v>
      </c>
      <c r="G232" s="400"/>
      <c r="H232" s="400">
        <f t="shared" si="9"/>
        <v>0</v>
      </c>
      <c r="I232" s="400"/>
      <c r="J232" s="368">
        <f t="shared" si="11"/>
        <v>0</v>
      </c>
    </row>
    <row r="233" spans="1:10" ht="19.5">
      <c r="A233" s="184"/>
      <c r="B233" s="94" t="s">
        <v>24</v>
      </c>
      <c r="C233" s="22" t="s">
        <v>21</v>
      </c>
      <c r="D233" s="113">
        <f>(D219/6)*2</f>
        <v>1.2466666666666668</v>
      </c>
      <c r="E233" s="374">
        <v>12500</v>
      </c>
      <c r="F233" s="368">
        <f t="shared" si="10"/>
        <v>15583.333333333336</v>
      </c>
      <c r="G233" s="400">
        <v>10000</v>
      </c>
      <c r="H233" s="400">
        <f t="shared" si="9"/>
        <v>12466.666666666668</v>
      </c>
      <c r="I233" s="400">
        <v>80000</v>
      </c>
      <c r="J233" s="368">
        <f t="shared" si="11"/>
        <v>99733.333333333343</v>
      </c>
    </row>
    <row r="234" spans="1:10" ht="19.5">
      <c r="A234" s="184"/>
      <c r="B234" s="94" t="s">
        <v>25</v>
      </c>
      <c r="C234" s="22" t="s">
        <v>21</v>
      </c>
      <c r="D234" s="113">
        <f>(D219/6)*18</f>
        <v>11.22</v>
      </c>
      <c r="E234" s="374">
        <v>11500</v>
      </c>
      <c r="F234" s="368">
        <f t="shared" si="10"/>
        <v>129030.00000000001</v>
      </c>
      <c r="G234" s="400">
        <v>5000</v>
      </c>
      <c r="H234" s="400">
        <f t="shared" si="9"/>
        <v>56100</v>
      </c>
      <c r="I234" s="400">
        <v>19180.5</v>
      </c>
      <c r="J234" s="368">
        <f t="shared" si="11"/>
        <v>215205.21000000002</v>
      </c>
    </row>
    <row r="235" spans="1:10" ht="19.5">
      <c r="A235" s="153"/>
      <c r="B235" s="93" t="s">
        <v>27</v>
      </c>
      <c r="C235" s="27"/>
      <c r="D235" s="116"/>
      <c r="E235" s="381"/>
      <c r="F235" s="368">
        <f t="shared" si="10"/>
        <v>0</v>
      </c>
      <c r="G235" s="400"/>
      <c r="H235" s="400">
        <f t="shared" si="9"/>
        <v>0</v>
      </c>
      <c r="I235" s="400"/>
      <c r="J235" s="368">
        <f t="shared" si="11"/>
        <v>0</v>
      </c>
    </row>
    <row r="236" spans="1:10" ht="19.5">
      <c r="A236" s="184"/>
      <c r="B236" s="94"/>
      <c r="C236" s="22"/>
      <c r="D236" s="113"/>
      <c r="E236" s="374"/>
      <c r="F236" s="368">
        <f t="shared" si="10"/>
        <v>0</v>
      </c>
      <c r="G236" s="400"/>
      <c r="H236" s="400">
        <f t="shared" si="9"/>
        <v>0</v>
      </c>
      <c r="I236" s="400"/>
      <c r="J236" s="368">
        <f t="shared" si="11"/>
        <v>0</v>
      </c>
    </row>
    <row r="237" spans="1:10" ht="19.5">
      <c r="A237" s="179">
        <v>12.01</v>
      </c>
      <c r="B237" s="2" t="s">
        <v>46</v>
      </c>
      <c r="C237" s="62" t="s">
        <v>47</v>
      </c>
      <c r="D237" s="193">
        <f>46.8+28</f>
        <v>74.8</v>
      </c>
      <c r="E237" s="367">
        <v>6241.9761333333345</v>
      </c>
      <c r="F237" s="367">
        <f t="shared" si="10"/>
        <v>466899.81477333338</v>
      </c>
      <c r="G237" s="403"/>
      <c r="H237" s="367">
        <f>SUBTOTAL(9,H238:H247)</f>
        <v>418003.54346666666</v>
      </c>
      <c r="I237" s="403">
        <v>5343.760666666667</v>
      </c>
      <c r="J237" s="367">
        <f t="shared" si="11"/>
        <v>399713.29786666669</v>
      </c>
    </row>
    <row r="238" spans="1:10" ht="19.5">
      <c r="A238" s="181"/>
      <c r="B238" s="57" t="s">
        <v>2</v>
      </c>
      <c r="C238" s="42"/>
      <c r="D238" s="132"/>
      <c r="E238" s="368"/>
      <c r="F238" s="368">
        <f t="shared" si="10"/>
        <v>0</v>
      </c>
      <c r="G238" s="400"/>
      <c r="H238" s="400">
        <f t="shared" si="9"/>
        <v>0</v>
      </c>
      <c r="I238" s="400"/>
      <c r="J238" s="368">
        <f t="shared" si="11"/>
        <v>0</v>
      </c>
    </row>
    <row r="239" spans="1:10" ht="19.5">
      <c r="A239" s="181"/>
      <c r="B239" s="46" t="s">
        <v>11</v>
      </c>
      <c r="C239" s="42" t="s">
        <v>12</v>
      </c>
      <c r="D239" s="132">
        <f>D237*(1/6)*0.032*(1440/50)*1.54</f>
        <v>17.6934912</v>
      </c>
      <c r="E239" s="368">
        <v>11200</v>
      </c>
      <c r="F239" s="368">
        <f t="shared" si="10"/>
        <v>198167.10144</v>
      </c>
      <c r="G239" s="400">
        <v>14000</v>
      </c>
      <c r="H239" s="400">
        <f t="shared" si="9"/>
        <v>247708.8768</v>
      </c>
      <c r="I239" s="400">
        <v>13500</v>
      </c>
      <c r="J239" s="368">
        <f t="shared" si="11"/>
        <v>238862.1312</v>
      </c>
    </row>
    <row r="240" spans="1:10" ht="19.5">
      <c r="A240" s="181"/>
      <c r="B240" s="46" t="s">
        <v>13</v>
      </c>
      <c r="C240" s="42" t="s">
        <v>10</v>
      </c>
      <c r="D240" s="132">
        <f>D237*(5/6)*0.032*1.54</f>
        <v>3.0717866666666671</v>
      </c>
      <c r="E240" s="368">
        <v>36500</v>
      </c>
      <c r="F240" s="368">
        <f t="shared" si="10"/>
        <v>112120.21333333335</v>
      </c>
      <c r="G240" s="400">
        <v>25000</v>
      </c>
      <c r="H240" s="400">
        <f t="shared" si="9"/>
        <v>76794.666666666672</v>
      </c>
      <c r="I240" s="400">
        <v>40000</v>
      </c>
      <c r="J240" s="368">
        <f t="shared" si="11"/>
        <v>122871.46666666669</v>
      </c>
    </row>
    <row r="241" spans="1:10" ht="19.5">
      <c r="A241" s="153"/>
      <c r="B241" s="93" t="s">
        <v>5</v>
      </c>
      <c r="C241" s="27"/>
      <c r="D241" s="116"/>
      <c r="E241" s="381"/>
      <c r="F241" s="368">
        <f t="shared" si="10"/>
        <v>0</v>
      </c>
      <c r="G241" s="400"/>
      <c r="H241" s="400">
        <f t="shared" si="9"/>
        <v>0</v>
      </c>
      <c r="I241" s="400"/>
      <c r="J241" s="368">
        <f t="shared" si="11"/>
        <v>0</v>
      </c>
    </row>
    <row r="242" spans="1:10" ht="19.5">
      <c r="A242" s="184"/>
      <c r="B242" s="94"/>
      <c r="C242" s="22"/>
      <c r="D242" s="113"/>
      <c r="E242" s="374"/>
      <c r="F242" s="368">
        <f t="shared" si="10"/>
        <v>0</v>
      </c>
      <c r="G242" s="400"/>
      <c r="H242" s="400">
        <f t="shared" si="9"/>
        <v>0</v>
      </c>
      <c r="I242" s="400"/>
      <c r="J242" s="368">
        <f t="shared" si="11"/>
        <v>0</v>
      </c>
    </row>
    <row r="243" spans="1:10" ht="19.5">
      <c r="A243" s="184"/>
      <c r="B243" s="93" t="s">
        <v>6</v>
      </c>
      <c r="C243" s="22"/>
      <c r="D243" s="113"/>
      <c r="E243" s="374"/>
      <c r="F243" s="368">
        <f t="shared" si="10"/>
        <v>0</v>
      </c>
      <c r="G243" s="400"/>
      <c r="H243" s="400">
        <f t="shared" si="9"/>
        <v>0</v>
      </c>
      <c r="I243" s="400"/>
      <c r="J243" s="368">
        <f t="shared" si="11"/>
        <v>0</v>
      </c>
    </row>
    <row r="244" spans="1:10" ht="19.5">
      <c r="A244" s="184"/>
      <c r="B244" s="94" t="s">
        <v>34</v>
      </c>
      <c r="C244" s="22" t="s">
        <v>8</v>
      </c>
      <c r="D244" s="113">
        <f>D237/16</f>
        <v>4.6749999999999998</v>
      </c>
      <c r="E244" s="374">
        <v>14500</v>
      </c>
      <c r="F244" s="368">
        <f t="shared" si="10"/>
        <v>67787.5</v>
      </c>
      <c r="G244" s="400">
        <v>10000</v>
      </c>
      <c r="H244" s="400">
        <f t="shared" si="9"/>
        <v>46750</v>
      </c>
      <c r="I244" s="400">
        <v>5908</v>
      </c>
      <c r="J244" s="368">
        <f t="shared" si="11"/>
        <v>27619.899999999998</v>
      </c>
    </row>
    <row r="245" spans="1:10" ht="19.5">
      <c r="A245" s="184"/>
      <c r="B245" s="94" t="s">
        <v>7</v>
      </c>
      <c r="C245" s="22" t="s">
        <v>8</v>
      </c>
      <c r="D245" s="113">
        <f>D244*2</f>
        <v>9.35</v>
      </c>
      <c r="E245" s="374">
        <v>9500</v>
      </c>
      <c r="F245" s="368">
        <f t="shared" si="10"/>
        <v>88825</v>
      </c>
      <c r="G245" s="400">
        <v>5000</v>
      </c>
      <c r="H245" s="400">
        <f t="shared" si="9"/>
        <v>46750</v>
      </c>
      <c r="I245" s="400">
        <v>1108</v>
      </c>
      <c r="J245" s="368">
        <f t="shared" si="11"/>
        <v>10359.799999999999</v>
      </c>
    </row>
    <row r="246" spans="1:10" ht="19.5">
      <c r="A246" s="153"/>
      <c r="B246" s="93" t="s">
        <v>9</v>
      </c>
      <c r="C246" s="27"/>
      <c r="D246" s="116"/>
      <c r="E246" s="381"/>
      <c r="F246" s="368">
        <f t="shared" si="10"/>
        <v>0</v>
      </c>
      <c r="G246" s="400"/>
      <c r="H246" s="400">
        <f t="shared" si="9"/>
        <v>0</v>
      </c>
      <c r="I246" s="400"/>
      <c r="J246" s="368">
        <f t="shared" si="11"/>
        <v>0</v>
      </c>
    </row>
    <row r="247" spans="1:10" ht="19.5">
      <c r="A247" s="153"/>
      <c r="B247" s="93"/>
      <c r="C247" s="27"/>
      <c r="D247" s="116"/>
      <c r="E247" s="381"/>
      <c r="F247" s="368">
        <f t="shared" si="10"/>
        <v>0</v>
      </c>
      <c r="G247" s="400"/>
      <c r="H247" s="400">
        <f t="shared" si="9"/>
        <v>0</v>
      </c>
      <c r="I247" s="400"/>
      <c r="J247" s="368">
        <f t="shared" si="11"/>
        <v>0</v>
      </c>
    </row>
    <row r="248" spans="1:10" s="86" customFormat="1" ht="19.5">
      <c r="A248" s="153">
        <v>13</v>
      </c>
      <c r="B248" s="475" t="s">
        <v>48</v>
      </c>
      <c r="C248" s="475"/>
      <c r="D248" s="475"/>
      <c r="E248" s="376"/>
      <c r="F248" s="368">
        <f t="shared" si="10"/>
        <v>0</v>
      </c>
      <c r="G248" s="409"/>
      <c r="H248" s="400">
        <f t="shared" si="9"/>
        <v>0</v>
      </c>
      <c r="I248" s="409"/>
      <c r="J248" s="368">
        <f t="shared" si="11"/>
        <v>0</v>
      </c>
    </row>
    <row r="249" spans="1:10" ht="19.5">
      <c r="A249" s="185">
        <v>13.01</v>
      </c>
      <c r="B249" s="15" t="s">
        <v>49</v>
      </c>
      <c r="C249" s="34" t="s">
        <v>50</v>
      </c>
      <c r="D249" s="120">
        <f>(27.6*3)-(7.56+2.45)</f>
        <v>72.790000000000006</v>
      </c>
      <c r="E249" s="367">
        <v>3614.7472000000002</v>
      </c>
      <c r="F249" s="367">
        <f t="shared" si="10"/>
        <v>263117.44868800003</v>
      </c>
      <c r="G249" s="403"/>
      <c r="H249" s="367">
        <f>SUBTOTAL(9,H250:H259)</f>
        <v>387591.02736000007</v>
      </c>
      <c r="I249" s="403">
        <v>5999.9159999999993</v>
      </c>
      <c r="J249" s="367">
        <f t="shared" si="11"/>
        <v>436733.88563999999</v>
      </c>
    </row>
    <row r="250" spans="1:10" ht="19.5">
      <c r="A250" s="184"/>
      <c r="B250" s="57" t="s">
        <v>51</v>
      </c>
      <c r="C250" s="42"/>
      <c r="D250" s="128"/>
      <c r="E250" s="368"/>
      <c r="F250" s="368">
        <f t="shared" si="10"/>
        <v>0</v>
      </c>
      <c r="G250" s="400"/>
      <c r="H250" s="400">
        <f t="shared" si="9"/>
        <v>0</v>
      </c>
      <c r="I250" s="400"/>
      <c r="J250" s="368">
        <f t="shared" si="11"/>
        <v>0</v>
      </c>
    </row>
    <row r="251" spans="1:10" ht="19.5">
      <c r="A251" s="183"/>
      <c r="B251" s="46" t="s">
        <v>52</v>
      </c>
      <c r="C251" s="42" t="s">
        <v>12</v>
      </c>
      <c r="D251" s="113">
        <f>D249*0.015*(1/5)*1.54*(1440/50)</f>
        <v>9.6851462400000017</v>
      </c>
      <c r="E251" s="368">
        <v>11200</v>
      </c>
      <c r="F251" s="368">
        <f t="shared" si="10"/>
        <v>108473.63788800001</v>
      </c>
      <c r="G251" s="400">
        <v>14000</v>
      </c>
      <c r="H251" s="400">
        <f t="shared" si="9"/>
        <v>135592.04736000003</v>
      </c>
      <c r="I251" s="400">
        <v>11000</v>
      </c>
      <c r="J251" s="368">
        <f t="shared" si="11"/>
        <v>106536.60864000002</v>
      </c>
    </row>
    <row r="252" spans="1:10" ht="19.5">
      <c r="A252" s="218"/>
      <c r="B252" s="46" t="s">
        <v>13</v>
      </c>
      <c r="C252" s="42" t="s">
        <v>28</v>
      </c>
      <c r="D252" s="113">
        <f>D249*0.015*1.54*(4/5)</f>
        <v>1.3451592000000001</v>
      </c>
      <c r="E252" s="368">
        <v>36500</v>
      </c>
      <c r="F252" s="368">
        <f t="shared" si="10"/>
        <v>49098.310800000007</v>
      </c>
      <c r="G252" s="400">
        <v>25000</v>
      </c>
      <c r="H252" s="400">
        <f t="shared" si="9"/>
        <v>33628.980000000003</v>
      </c>
      <c r="I252" s="400">
        <v>40000</v>
      </c>
      <c r="J252" s="368">
        <f t="shared" si="11"/>
        <v>53806.368000000002</v>
      </c>
    </row>
    <row r="253" spans="1:10" ht="19.5">
      <c r="A253" s="173"/>
      <c r="B253" s="57" t="s">
        <v>5</v>
      </c>
      <c r="C253" s="58"/>
      <c r="D253" s="116"/>
      <c r="E253" s="378"/>
      <c r="F253" s="368">
        <f t="shared" si="10"/>
        <v>0</v>
      </c>
      <c r="G253" s="400"/>
      <c r="H253" s="400">
        <f t="shared" si="9"/>
        <v>0</v>
      </c>
      <c r="I253" s="400"/>
      <c r="J253" s="368">
        <f t="shared" si="11"/>
        <v>0</v>
      </c>
    </row>
    <row r="254" spans="1:10" ht="19.5">
      <c r="A254" s="218"/>
      <c r="B254" s="46"/>
      <c r="C254" s="42"/>
      <c r="D254" s="113"/>
      <c r="E254" s="368"/>
      <c r="F254" s="368">
        <f t="shared" si="10"/>
        <v>0</v>
      </c>
      <c r="G254" s="400"/>
      <c r="H254" s="400">
        <f t="shared" si="9"/>
        <v>0</v>
      </c>
      <c r="I254" s="400"/>
      <c r="J254" s="368">
        <f t="shared" si="11"/>
        <v>0</v>
      </c>
    </row>
    <row r="255" spans="1:10" ht="19.5">
      <c r="A255" s="218"/>
      <c r="B255" s="57" t="s">
        <v>53</v>
      </c>
      <c r="C255" s="42"/>
      <c r="D255" s="128"/>
      <c r="E255" s="368"/>
      <c r="F255" s="368">
        <f t="shared" si="10"/>
        <v>0</v>
      </c>
      <c r="G255" s="400"/>
      <c r="H255" s="400">
        <f t="shared" si="9"/>
        <v>0</v>
      </c>
      <c r="I255" s="400"/>
      <c r="J255" s="368">
        <f t="shared" si="11"/>
        <v>0</v>
      </c>
    </row>
    <row r="256" spans="1:10" ht="19.5">
      <c r="A256" s="218"/>
      <c r="B256" s="46" t="s">
        <v>34</v>
      </c>
      <c r="C256" s="42" t="s">
        <v>8</v>
      </c>
      <c r="D256" s="113">
        <f>D249/10</f>
        <v>7.2790000000000008</v>
      </c>
      <c r="E256" s="368">
        <v>4500</v>
      </c>
      <c r="F256" s="368">
        <f t="shared" si="10"/>
        <v>32755.500000000004</v>
      </c>
      <c r="G256" s="400">
        <v>10000</v>
      </c>
      <c r="H256" s="400">
        <f t="shared" si="9"/>
        <v>72790.000000000015</v>
      </c>
      <c r="I256" s="400">
        <v>25315</v>
      </c>
      <c r="J256" s="368">
        <f t="shared" si="11"/>
        <v>184267.88500000001</v>
      </c>
    </row>
    <row r="257" spans="1:10" ht="19.5">
      <c r="A257" s="218"/>
      <c r="B257" s="46" t="s">
        <v>7</v>
      </c>
      <c r="C257" s="42" t="s">
        <v>8</v>
      </c>
      <c r="D257" s="128">
        <f>D256*4</f>
        <v>29.116000000000003</v>
      </c>
      <c r="E257" s="368">
        <v>2500</v>
      </c>
      <c r="F257" s="368">
        <f t="shared" si="10"/>
        <v>72790.000000000015</v>
      </c>
      <c r="G257" s="400">
        <v>5000</v>
      </c>
      <c r="H257" s="400">
        <f t="shared" si="9"/>
        <v>145580.00000000003</v>
      </c>
      <c r="I257" s="400">
        <v>3164</v>
      </c>
      <c r="J257" s="368">
        <f t="shared" si="11"/>
        <v>92123.024000000005</v>
      </c>
    </row>
    <row r="258" spans="1:10" ht="19.5">
      <c r="A258" s="219"/>
      <c r="B258" s="93" t="s">
        <v>54</v>
      </c>
      <c r="C258" s="47"/>
      <c r="D258" s="133"/>
      <c r="E258" s="378"/>
      <c r="F258" s="368">
        <f t="shared" si="10"/>
        <v>0</v>
      </c>
      <c r="G258" s="400"/>
      <c r="H258" s="400">
        <f t="shared" si="9"/>
        <v>0</v>
      </c>
      <c r="I258" s="400"/>
      <c r="J258" s="368">
        <f t="shared" si="11"/>
        <v>0</v>
      </c>
    </row>
    <row r="259" spans="1:10" ht="19.5">
      <c r="A259" s="180"/>
      <c r="B259" s="46"/>
      <c r="C259" s="42"/>
      <c r="D259" s="128"/>
      <c r="E259" s="368"/>
      <c r="F259" s="368">
        <f t="shared" si="10"/>
        <v>0</v>
      </c>
      <c r="G259" s="400"/>
      <c r="H259" s="400">
        <f t="shared" si="9"/>
        <v>0</v>
      </c>
      <c r="I259" s="400"/>
      <c r="J259" s="368">
        <f t="shared" si="11"/>
        <v>0</v>
      </c>
    </row>
    <row r="260" spans="1:10" s="86" customFormat="1" ht="19.5">
      <c r="A260" s="173">
        <v>14</v>
      </c>
      <c r="B260" s="100" t="s">
        <v>55</v>
      </c>
      <c r="C260" s="90"/>
      <c r="D260" s="124"/>
      <c r="E260" s="382"/>
      <c r="F260" s="368">
        <f t="shared" si="10"/>
        <v>0</v>
      </c>
      <c r="G260" s="409"/>
      <c r="H260" s="400">
        <f t="shared" si="9"/>
        <v>0</v>
      </c>
      <c r="I260" s="409"/>
      <c r="J260" s="368">
        <f t="shared" si="11"/>
        <v>0</v>
      </c>
    </row>
    <row r="261" spans="1:10" ht="19.5">
      <c r="A261" s="220">
        <v>14.01</v>
      </c>
      <c r="B261" s="33" t="s">
        <v>49</v>
      </c>
      <c r="C261" s="34" t="s">
        <v>1</v>
      </c>
      <c r="D261" s="120">
        <f>D249</f>
        <v>72.790000000000006</v>
      </c>
      <c r="E261" s="367">
        <v>4583.9192196730319</v>
      </c>
      <c r="F261" s="367">
        <f t="shared" si="10"/>
        <v>333663.48000000004</v>
      </c>
      <c r="G261" s="403"/>
      <c r="H261" s="367">
        <f>SUBTOTAL(9,H262:H275)</f>
        <v>203830.19750000001</v>
      </c>
      <c r="I261" s="403">
        <v>7000.0337499999996</v>
      </c>
      <c r="J261" s="367">
        <f t="shared" si="11"/>
        <v>509532.45666249999</v>
      </c>
    </row>
    <row r="262" spans="1:10" ht="19.5">
      <c r="A262" s="180"/>
      <c r="B262" s="57" t="s">
        <v>2</v>
      </c>
      <c r="C262" s="42"/>
      <c r="D262" s="128"/>
      <c r="E262" s="368"/>
      <c r="F262" s="368">
        <f t="shared" si="10"/>
        <v>0</v>
      </c>
      <c r="G262" s="400"/>
      <c r="H262" s="400">
        <f t="shared" si="9"/>
        <v>0</v>
      </c>
      <c r="I262" s="400"/>
      <c r="J262" s="368">
        <f t="shared" si="11"/>
        <v>0</v>
      </c>
    </row>
    <row r="263" spans="1:10" ht="19.5">
      <c r="A263" s="221"/>
      <c r="B263" s="46" t="s">
        <v>56</v>
      </c>
      <c r="C263" s="42" t="s">
        <v>57</v>
      </c>
      <c r="D263" s="128">
        <f>D261*0.07*3</f>
        <v>15.285900000000002</v>
      </c>
      <c r="E263" s="368">
        <v>7523.273081728913</v>
      </c>
      <c r="F263" s="368">
        <f t="shared" si="10"/>
        <v>115000</v>
      </c>
      <c r="G263" s="400">
        <v>7000</v>
      </c>
      <c r="H263" s="400">
        <f t="shared" ref="H263:H326" si="12">D263*G263</f>
        <v>107001.30000000002</v>
      </c>
      <c r="I263" s="400">
        <v>4500</v>
      </c>
      <c r="J263" s="368">
        <f t="shared" si="11"/>
        <v>68786.55</v>
      </c>
    </row>
    <row r="264" spans="1:10" ht="19.5">
      <c r="A264" s="218"/>
      <c r="B264" s="46" t="str">
        <f>'[1]Emulsion Paint'!$B$19</f>
        <v>Induit/undercoat ( 2 coats)</v>
      </c>
      <c r="C264" s="42" t="s">
        <v>57</v>
      </c>
      <c r="D264" s="128">
        <f>D261*0.07*2</f>
        <v>10.190600000000002</v>
      </c>
      <c r="E264" s="368">
        <v>14228.799089356857</v>
      </c>
      <c r="F264" s="368">
        <f t="shared" ref="F264:F327" si="13">D264*E264</f>
        <v>145000</v>
      </c>
      <c r="G264" s="400">
        <v>1000</v>
      </c>
      <c r="H264" s="400">
        <f t="shared" si="12"/>
        <v>10190.600000000002</v>
      </c>
      <c r="I264" s="400">
        <v>1100</v>
      </c>
      <c r="J264" s="368">
        <f t="shared" ref="J264:J327" si="14">D264*I264</f>
        <v>11209.660000000002</v>
      </c>
    </row>
    <row r="265" spans="1:10" ht="19.5">
      <c r="A265" s="218"/>
      <c r="B265" s="46" t="str">
        <f>'[1]Emulsion Paint'!$B$24</f>
        <v>Roller</v>
      </c>
      <c r="C265" s="42" t="s">
        <v>44</v>
      </c>
      <c r="D265" s="113">
        <f>D261/100</f>
        <v>0.7279000000000001</v>
      </c>
      <c r="E265" s="368">
        <v>1100</v>
      </c>
      <c r="F265" s="368">
        <f t="shared" si="13"/>
        <v>800.69000000000017</v>
      </c>
      <c r="G265" s="400">
        <v>1200</v>
      </c>
      <c r="H265" s="400">
        <f t="shared" si="12"/>
        <v>873.48000000000013</v>
      </c>
      <c r="I265" s="400">
        <v>2200</v>
      </c>
      <c r="J265" s="368">
        <f t="shared" si="14"/>
        <v>1601.3800000000003</v>
      </c>
    </row>
    <row r="266" spans="1:10" ht="19.5">
      <c r="A266" s="218"/>
      <c r="B266" s="46" t="str">
        <f>'[1]Emulsion Paint'!$B$23</f>
        <v>Brush</v>
      </c>
      <c r="C266" s="42" t="s">
        <v>44</v>
      </c>
      <c r="D266" s="113">
        <f>D261/100</f>
        <v>0.7279000000000001</v>
      </c>
      <c r="E266" s="368">
        <v>1100</v>
      </c>
      <c r="F266" s="368">
        <f t="shared" si="13"/>
        <v>800.69000000000017</v>
      </c>
      <c r="G266" s="400">
        <v>1200</v>
      </c>
      <c r="H266" s="400">
        <f t="shared" si="12"/>
        <v>873.48000000000013</v>
      </c>
      <c r="I266" s="400">
        <v>600</v>
      </c>
      <c r="J266" s="368">
        <f t="shared" si="14"/>
        <v>436.74000000000007</v>
      </c>
    </row>
    <row r="267" spans="1:10" ht="19.5">
      <c r="A267" s="218"/>
      <c r="B267" s="46" t="s">
        <v>58</v>
      </c>
      <c r="C267" s="42" t="s">
        <v>59</v>
      </c>
      <c r="D267" s="113">
        <f>D261/100</f>
        <v>0.7279000000000001</v>
      </c>
      <c r="E267" s="368">
        <v>3500</v>
      </c>
      <c r="F267" s="368">
        <f t="shared" si="13"/>
        <v>2547.6500000000005</v>
      </c>
      <c r="G267" s="400">
        <v>2000</v>
      </c>
      <c r="H267" s="400">
        <f t="shared" si="12"/>
        <v>1455.8000000000002</v>
      </c>
      <c r="I267" s="400">
        <v>3500</v>
      </c>
      <c r="J267" s="368">
        <f t="shared" si="14"/>
        <v>2547.6500000000005</v>
      </c>
    </row>
    <row r="268" spans="1:10" ht="19.5">
      <c r="A268" s="218"/>
      <c r="B268" s="46" t="s">
        <v>60</v>
      </c>
      <c r="C268" s="42" t="s">
        <v>44</v>
      </c>
      <c r="D268" s="113">
        <f>D261/50</f>
        <v>1.4558000000000002</v>
      </c>
      <c r="E268" s="368">
        <v>3500</v>
      </c>
      <c r="F268" s="368">
        <f t="shared" si="13"/>
        <v>5095.3000000000011</v>
      </c>
      <c r="G268" s="400">
        <v>2000</v>
      </c>
      <c r="H268" s="400">
        <f t="shared" si="12"/>
        <v>2911.6000000000004</v>
      </c>
      <c r="I268" s="400">
        <v>1500</v>
      </c>
      <c r="J268" s="368">
        <f t="shared" si="14"/>
        <v>2183.7000000000003</v>
      </c>
    </row>
    <row r="269" spans="1:10" ht="19.5">
      <c r="A269" s="173"/>
      <c r="B269" s="57" t="s">
        <v>61</v>
      </c>
      <c r="C269" s="58"/>
      <c r="D269" s="116"/>
      <c r="E269" s="378"/>
      <c r="F269" s="368">
        <f t="shared" si="13"/>
        <v>0</v>
      </c>
      <c r="G269" s="400"/>
      <c r="H269" s="400">
        <f t="shared" si="12"/>
        <v>0</v>
      </c>
      <c r="I269" s="400"/>
      <c r="J269" s="368">
        <f t="shared" si="14"/>
        <v>0</v>
      </c>
    </row>
    <row r="270" spans="1:10" ht="19.5">
      <c r="A270" s="218"/>
      <c r="B270" s="46"/>
      <c r="C270" s="42"/>
      <c r="D270" s="113"/>
      <c r="E270" s="368"/>
      <c r="F270" s="368">
        <f t="shared" si="13"/>
        <v>0</v>
      </c>
      <c r="G270" s="400"/>
      <c r="H270" s="400">
        <f t="shared" si="12"/>
        <v>0</v>
      </c>
      <c r="I270" s="400"/>
      <c r="J270" s="368">
        <f t="shared" si="14"/>
        <v>0</v>
      </c>
    </row>
    <row r="271" spans="1:10" ht="19.5">
      <c r="A271" s="218"/>
      <c r="B271" s="57" t="s">
        <v>6</v>
      </c>
      <c r="C271" s="42"/>
      <c r="D271" s="128"/>
      <c r="E271" s="368"/>
      <c r="F271" s="368">
        <f t="shared" si="13"/>
        <v>0</v>
      </c>
      <c r="G271" s="400"/>
      <c r="H271" s="400">
        <f t="shared" si="12"/>
        <v>0</v>
      </c>
      <c r="I271" s="400"/>
      <c r="J271" s="368">
        <f t="shared" si="14"/>
        <v>0</v>
      </c>
    </row>
    <row r="272" spans="1:10" ht="19.5">
      <c r="A272" s="218"/>
      <c r="B272" s="46" t="s">
        <v>7</v>
      </c>
      <c r="C272" s="42" t="s">
        <v>62</v>
      </c>
      <c r="D272" s="128">
        <f>D273</f>
        <v>5.3682625000000002</v>
      </c>
      <c r="E272" s="368">
        <v>5500</v>
      </c>
      <c r="F272" s="368">
        <f t="shared" si="13"/>
        <v>29525.443750000002</v>
      </c>
      <c r="G272" s="400">
        <v>10000</v>
      </c>
      <c r="H272" s="400">
        <f t="shared" si="12"/>
        <v>53682.625</v>
      </c>
      <c r="I272" s="400">
        <v>19113</v>
      </c>
      <c r="J272" s="368">
        <f t="shared" si="14"/>
        <v>102603.60116250001</v>
      </c>
    </row>
    <row r="273" spans="1:10" ht="19.5">
      <c r="A273" s="218"/>
      <c r="B273" s="46" t="s">
        <v>63</v>
      </c>
      <c r="C273" s="42" t="s">
        <v>62</v>
      </c>
      <c r="D273" s="128">
        <f>D261*(0.59/8)</f>
        <v>5.3682625000000002</v>
      </c>
      <c r="E273" s="368">
        <v>6500</v>
      </c>
      <c r="F273" s="368">
        <f t="shared" si="13"/>
        <v>34893.706250000003</v>
      </c>
      <c r="G273" s="400">
        <v>5000</v>
      </c>
      <c r="H273" s="400">
        <f t="shared" si="12"/>
        <v>26841.3125</v>
      </c>
      <c r="I273" s="400">
        <v>59640</v>
      </c>
      <c r="J273" s="368">
        <f t="shared" si="14"/>
        <v>320163.17550000001</v>
      </c>
    </row>
    <row r="274" spans="1:10" ht="19.5">
      <c r="A274" s="153"/>
      <c r="B274" s="93" t="s">
        <v>9</v>
      </c>
      <c r="C274" s="27"/>
      <c r="D274" s="116"/>
      <c r="E274" s="381"/>
      <c r="F274" s="368">
        <f t="shared" si="13"/>
        <v>0</v>
      </c>
      <c r="G274" s="400"/>
      <c r="H274" s="400">
        <f t="shared" si="12"/>
        <v>0</v>
      </c>
      <c r="I274" s="400"/>
      <c r="J274" s="368">
        <f t="shared" si="14"/>
        <v>0</v>
      </c>
    </row>
    <row r="275" spans="1:10" ht="19.5">
      <c r="A275" s="222"/>
      <c r="B275" s="102"/>
      <c r="C275" s="45"/>
      <c r="D275" s="123"/>
      <c r="E275" s="383"/>
      <c r="F275" s="368">
        <f t="shared" si="13"/>
        <v>0</v>
      </c>
      <c r="G275" s="400"/>
      <c r="H275" s="400">
        <f t="shared" si="12"/>
        <v>0</v>
      </c>
      <c r="I275" s="400"/>
      <c r="J275" s="368">
        <f t="shared" si="14"/>
        <v>0</v>
      </c>
    </row>
    <row r="276" spans="1:10" s="86" customFormat="1" ht="19.5">
      <c r="A276" s="153">
        <v>15</v>
      </c>
      <c r="B276" s="475" t="s">
        <v>123</v>
      </c>
      <c r="C276" s="475"/>
      <c r="D276" s="475"/>
      <c r="E276" s="376"/>
      <c r="F276" s="368">
        <f t="shared" si="13"/>
        <v>0</v>
      </c>
      <c r="G276" s="409"/>
      <c r="H276" s="400">
        <f t="shared" si="12"/>
        <v>0</v>
      </c>
      <c r="I276" s="409"/>
      <c r="J276" s="368">
        <f t="shared" si="14"/>
        <v>0</v>
      </c>
    </row>
    <row r="277" spans="1:10" ht="19.5">
      <c r="A277" s="185">
        <v>15.01</v>
      </c>
      <c r="B277" s="15" t="s">
        <v>64</v>
      </c>
      <c r="C277" s="34" t="s">
        <v>50</v>
      </c>
      <c r="D277" s="131">
        <f>(27.6*3)-(7.56+2.45)</f>
        <v>72.790000000000006</v>
      </c>
      <c r="E277" s="367">
        <v>3636.377433333334</v>
      </c>
      <c r="F277" s="367">
        <f t="shared" si="13"/>
        <v>264691.91337233339</v>
      </c>
      <c r="G277" s="403"/>
      <c r="H277" s="624">
        <f>SUBTOTAL(9,H278:H288)</f>
        <v>436562.17403000011</v>
      </c>
      <c r="I277" s="403">
        <v>5999.9013333333332</v>
      </c>
      <c r="J277" s="367">
        <f t="shared" si="14"/>
        <v>436732.81805333338</v>
      </c>
    </row>
    <row r="278" spans="1:10" ht="19.5">
      <c r="A278" s="184"/>
      <c r="B278" s="57" t="s">
        <v>51</v>
      </c>
      <c r="C278" s="42"/>
      <c r="D278" s="128"/>
      <c r="E278" s="368"/>
      <c r="F278" s="368">
        <f t="shared" si="13"/>
        <v>0</v>
      </c>
      <c r="G278" s="400"/>
      <c r="H278" s="400">
        <f t="shared" si="12"/>
        <v>0</v>
      </c>
      <c r="I278" s="400"/>
      <c r="J278" s="368">
        <f t="shared" si="14"/>
        <v>0</v>
      </c>
    </row>
    <row r="279" spans="1:10" ht="19.5">
      <c r="A279" s="183"/>
      <c r="B279" s="46" t="s">
        <v>52</v>
      </c>
      <c r="C279" s="42" t="s">
        <v>12</v>
      </c>
      <c r="D279" s="113">
        <f>D277*0.01*(1/4)*1.54*(1440/50)+(D277*0.003*(1/6)*1.57*(1440/50))</f>
        <v>9.7165915200000015</v>
      </c>
      <c r="E279" s="368">
        <v>11200</v>
      </c>
      <c r="F279" s="368">
        <f t="shared" si="13"/>
        <v>108825.82502400002</v>
      </c>
      <c r="G279" s="400">
        <v>14000</v>
      </c>
      <c r="H279" s="404">
        <f t="shared" si="12"/>
        <v>136032.28128000002</v>
      </c>
      <c r="I279" s="400">
        <v>11000</v>
      </c>
      <c r="J279" s="368">
        <f t="shared" si="14"/>
        <v>106882.50672000002</v>
      </c>
    </row>
    <row r="280" spans="1:10" ht="19.5">
      <c r="A280" s="218"/>
      <c r="B280" s="46" t="s">
        <v>13</v>
      </c>
      <c r="C280" s="42" t="s">
        <v>28</v>
      </c>
      <c r="D280" s="113">
        <f>D277*0.01*1.5*1.54*(3/4)</f>
        <v>1.2610867500000003</v>
      </c>
      <c r="E280" s="368">
        <v>36500</v>
      </c>
      <c r="F280" s="368">
        <f t="shared" si="13"/>
        <v>46029.666375000008</v>
      </c>
      <c r="G280" s="400">
        <v>25000</v>
      </c>
      <c r="H280" s="404">
        <f t="shared" si="12"/>
        <v>31527.168750000008</v>
      </c>
      <c r="I280" s="400">
        <v>40000</v>
      </c>
      <c r="J280" s="368">
        <f t="shared" si="14"/>
        <v>50443.470000000008</v>
      </c>
    </row>
    <row r="281" spans="1:10" ht="19.5">
      <c r="A281" s="218"/>
      <c r="B281" s="46" t="s">
        <v>65</v>
      </c>
      <c r="C281" s="42" t="s">
        <v>31</v>
      </c>
      <c r="D281" s="113">
        <f>D277*0.003*(5/6)*1.57*(1440/50)</f>
        <v>8.2281816000000028</v>
      </c>
      <c r="E281" s="368">
        <v>10400</v>
      </c>
      <c r="F281" s="368">
        <f t="shared" si="13"/>
        <v>85573.088640000031</v>
      </c>
      <c r="G281" s="400">
        <v>15000</v>
      </c>
      <c r="H281" s="404">
        <f t="shared" si="12"/>
        <v>123422.72400000005</v>
      </c>
      <c r="I281" s="400">
        <v>10000</v>
      </c>
      <c r="J281" s="368">
        <f t="shared" si="14"/>
        <v>82281.816000000021</v>
      </c>
    </row>
    <row r="282" spans="1:10" ht="19.5">
      <c r="A282" s="173"/>
      <c r="B282" s="57" t="s">
        <v>5</v>
      </c>
      <c r="C282" s="58"/>
      <c r="D282" s="116"/>
      <c r="E282" s="378"/>
      <c r="F282" s="368">
        <f t="shared" si="13"/>
        <v>0</v>
      </c>
      <c r="G282" s="400"/>
      <c r="H282" s="400">
        <f t="shared" si="12"/>
        <v>0</v>
      </c>
      <c r="I282" s="400"/>
      <c r="J282" s="368">
        <f t="shared" si="14"/>
        <v>0</v>
      </c>
    </row>
    <row r="283" spans="1:10" ht="19.5">
      <c r="A283" s="218"/>
      <c r="B283" s="46"/>
      <c r="C283" s="42"/>
      <c r="D283" s="113"/>
      <c r="E283" s="368"/>
      <c r="F283" s="368">
        <f t="shared" si="13"/>
        <v>0</v>
      </c>
      <c r="G283" s="400"/>
      <c r="H283" s="400">
        <f t="shared" si="12"/>
        <v>0</v>
      </c>
      <c r="I283" s="400"/>
      <c r="J283" s="368">
        <f t="shared" si="14"/>
        <v>0</v>
      </c>
    </row>
    <row r="284" spans="1:10" ht="19.5">
      <c r="A284" s="88"/>
      <c r="B284" s="57" t="s">
        <v>53</v>
      </c>
      <c r="C284" s="42"/>
      <c r="D284" s="128"/>
      <c r="E284" s="368"/>
      <c r="F284" s="368">
        <f t="shared" si="13"/>
        <v>0</v>
      </c>
      <c r="G284" s="400"/>
      <c r="H284" s="400">
        <f t="shared" si="12"/>
        <v>0</v>
      </c>
      <c r="I284" s="400"/>
      <c r="J284" s="368">
        <f t="shared" si="14"/>
        <v>0</v>
      </c>
    </row>
    <row r="285" spans="1:10" ht="19.5">
      <c r="A285" s="88"/>
      <c r="B285" s="46" t="s">
        <v>34</v>
      </c>
      <c r="C285" s="42" t="s">
        <v>8</v>
      </c>
      <c r="D285" s="113">
        <f>D277/15</f>
        <v>4.8526666666666669</v>
      </c>
      <c r="E285" s="368">
        <v>1800</v>
      </c>
      <c r="F285" s="368">
        <f t="shared" si="13"/>
        <v>8734.8000000000011</v>
      </c>
      <c r="G285" s="400">
        <v>10000</v>
      </c>
      <c r="H285" s="400">
        <f t="shared" si="12"/>
        <v>48526.666666666672</v>
      </c>
      <c r="I285" s="400">
        <v>27082</v>
      </c>
      <c r="J285" s="368">
        <f t="shared" si="14"/>
        <v>131419.91866666666</v>
      </c>
    </row>
    <row r="286" spans="1:10" ht="19.5">
      <c r="A286" s="88"/>
      <c r="B286" s="46" t="s">
        <v>7</v>
      </c>
      <c r="C286" s="42" t="s">
        <v>8</v>
      </c>
      <c r="D286" s="128">
        <f>D285*4</f>
        <v>19.410666666666668</v>
      </c>
      <c r="E286" s="368">
        <v>800</v>
      </c>
      <c r="F286" s="368">
        <f t="shared" si="13"/>
        <v>15528.533333333335</v>
      </c>
      <c r="G286" s="400">
        <v>5000</v>
      </c>
      <c r="H286" s="400">
        <f t="shared" si="12"/>
        <v>97053.333333333343</v>
      </c>
      <c r="I286" s="400">
        <v>3385</v>
      </c>
      <c r="J286" s="368">
        <f t="shared" si="14"/>
        <v>65705.106666666674</v>
      </c>
    </row>
    <row r="287" spans="1:10" ht="19.5">
      <c r="A287" s="89"/>
      <c r="B287" s="93" t="s">
        <v>54</v>
      </c>
      <c r="C287" s="58"/>
      <c r="D287" s="129"/>
      <c r="E287" s="378"/>
      <c r="F287" s="368">
        <f t="shared" si="13"/>
        <v>0</v>
      </c>
      <c r="G287" s="400"/>
      <c r="H287" s="400">
        <f t="shared" si="12"/>
        <v>0</v>
      </c>
      <c r="I287" s="400"/>
      <c r="J287" s="368">
        <f t="shared" si="14"/>
        <v>0</v>
      </c>
    </row>
    <row r="288" spans="1:10" ht="19.5">
      <c r="A288" s="87"/>
      <c r="B288" s="94"/>
      <c r="C288" s="22"/>
      <c r="D288" s="113"/>
      <c r="E288" s="374"/>
      <c r="F288" s="368">
        <f t="shared" si="13"/>
        <v>0</v>
      </c>
      <c r="G288" s="400"/>
      <c r="H288" s="400">
        <f t="shared" si="12"/>
        <v>0</v>
      </c>
      <c r="I288" s="400"/>
      <c r="J288" s="368">
        <f t="shared" si="14"/>
        <v>0</v>
      </c>
    </row>
    <row r="289" spans="1:10" ht="19.7" customHeight="1">
      <c r="A289" s="80">
        <v>16</v>
      </c>
      <c r="B289" s="475" t="s">
        <v>141</v>
      </c>
      <c r="C289" s="475"/>
      <c r="D289" s="475"/>
      <c r="E289" s="376"/>
      <c r="F289" s="368">
        <f t="shared" si="13"/>
        <v>0</v>
      </c>
      <c r="G289" s="400"/>
      <c r="H289" s="400">
        <f t="shared" si="12"/>
        <v>0</v>
      </c>
      <c r="I289" s="400"/>
      <c r="J289" s="368">
        <f t="shared" si="14"/>
        <v>0</v>
      </c>
    </row>
    <row r="290" spans="1:10" ht="19.5">
      <c r="A290" s="188">
        <v>16.010000000000002</v>
      </c>
      <c r="B290" s="15" t="s">
        <v>66</v>
      </c>
      <c r="C290" s="34" t="s">
        <v>1</v>
      </c>
      <c r="D290" s="131">
        <f>D277+D249</f>
        <v>145.58000000000001</v>
      </c>
      <c r="E290" s="367">
        <v>3785.2207786889567</v>
      </c>
      <c r="F290" s="367">
        <f t="shared" si="13"/>
        <v>551052.44096153835</v>
      </c>
      <c r="G290" s="403"/>
      <c r="H290" s="367">
        <f>SUBTOTAL(9,H291:H307)</f>
        <v>1142766.605</v>
      </c>
      <c r="I290" s="403">
        <v>6999.9961442307695</v>
      </c>
      <c r="J290" s="367">
        <f t="shared" si="14"/>
        <v>1019059.4386771155</v>
      </c>
    </row>
    <row r="291" spans="1:10" ht="19.5">
      <c r="A291" s="87"/>
      <c r="B291" s="57" t="s">
        <v>2</v>
      </c>
      <c r="C291" s="42"/>
      <c r="D291" s="128"/>
      <c r="E291" s="368"/>
      <c r="F291" s="368">
        <f t="shared" si="13"/>
        <v>0</v>
      </c>
      <c r="G291" s="400"/>
      <c r="H291" s="400">
        <f t="shared" si="12"/>
        <v>0</v>
      </c>
      <c r="I291" s="400"/>
      <c r="J291" s="368">
        <f t="shared" si="14"/>
        <v>0</v>
      </c>
    </row>
    <row r="292" spans="1:10" ht="19.5">
      <c r="A292" s="87"/>
      <c r="B292" s="46" t="str">
        <f>'[1]Emulsion Paint'!$B$22</f>
        <v>Emulsion paint ( 3 coats)</v>
      </c>
      <c r="C292" s="42" t="s">
        <v>57</v>
      </c>
      <c r="D292" s="128">
        <f>D290*0.07*3</f>
        <v>30.571800000000003</v>
      </c>
      <c r="E292" s="368">
        <v>3434.537711224069</v>
      </c>
      <c r="F292" s="368">
        <f t="shared" si="13"/>
        <v>105000</v>
      </c>
      <c r="G292" s="400">
        <v>2000</v>
      </c>
      <c r="H292" s="400">
        <f t="shared" si="12"/>
        <v>61143.600000000006</v>
      </c>
      <c r="I292" s="400">
        <v>4000</v>
      </c>
      <c r="J292" s="368">
        <f t="shared" si="14"/>
        <v>122287.20000000001</v>
      </c>
    </row>
    <row r="293" spans="1:10" ht="19.5">
      <c r="A293" s="210"/>
      <c r="B293" s="46" t="str">
        <f>'[1]Emulsion Paint'!$B$20</f>
        <v>Whiting/stucco ( 2 coats)</v>
      </c>
      <c r="C293" s="42" t="s">
        <v>67</v>
      </c>
      <c r="D293" s="128">
        <f>D290*((50*2)/65)*2</f>
        <v>447.93846153846158</v>
      </c>
      <c r="E293" s="368">
        <v>323.70517928286847</v>
      </c>
      <c r="F293" s="368">
        <f t="shared" si="13"/>
        <v>145000</v>
      </c>
      <c r="G293" s="400">
        <v>1500</v>
      </c>
      <c r="H293" s="400">
        <f t="shared" si="12"/>
        <v>671907.69230769237</v>
      </c>
      <c r="I293" s="400">
        <v>640</v>
      </c>
      <c r="J293" s="368">
        <f t="shared" si="14"/>
        <v>286680.61538461543</v>
      </c>
    </row>
    <row r="294" spans="1:10" ht="19.5">
      <c r="A294" s="88"/>
      <c r="B294" s="46" t="str">
        <f>'[1]Emulsion Paint'!$B$19</f>
        <v>Induit/undercoat ( 2 coats)</v>
      </c>
      <c r="C294" s="42" t="s">
        <v>57</v>
      </c>
      <c r="D294" s="128">
        <f>D290*0.07*2</f>
        <v>20.381200000000003</v>
      </c>
      <c r="E294" s="368">
        <v>1100</v>
      </c>
      <c r="F294" s="368">
        <f t="shared" si="13"/>
        <v>22419.320000000003</v>
      </c>
      <c r="G294" s="400">
        <v>1000</v>
      </c>
      <c r="H294" s="400">
        <f t="shared" si="12"/>
        <v>20381.200000000004</v>
      </c>
      <c r="I294" s="400">
        <v>700</v>
      </c>
      <c r="J294" s="368">
        <f t="shared" si="14"/>
        <v>14266.840000000002</v>
      </c>
    </row>
    <row r="295" spans="1:10" ht="19.5">
      <c r="A295" s="88"/>
      <c r="B295" s="46" t="s">
        <v>68</v>
      </c>
      <c r="C295" s="42" t="s">
        <v>57</v>
      </c>
      <c r="D295" s="128">
        <f>D290*((30/65)*2)</f>
        <v>134.38153846153847</v>
      </c>
      <c r="E295" s="368">
        <v>1100</v>
      </c>
      <c r="F295" s="368">
        <f t="shared" si="13"/>
        <v>147819.69230769231</v>
      </c>
      <c r="G295" s="400">
        <v>1000</v>
      </c>
      <c r="H295" s="400">
        <f t="shared" si="12"/>
        <v>134381.53846153847</v>
      </c>
      <c r="I295" s="400">
        <v>700</v>
      </c>
      <c r="J295" s="368">
        <f t="shared" si="14"/>
        <v>94067.076923076922</v>
      </c>
    </row>
    <row r="296" spans="1:10" ht="19.5">
      <c r="A296" s="88"/>
      <c r="B296" s="46" t="str">
        <f>'[1]Emulsion Paint'!$B$21</f>
        <v>Colle</v>
      </c>
      <c r="C296" s="42" t="s">
        <v>69</v>
      </c>
      <c r="D296" s="128">
        <f>D290*((1/65)*2)</f>
        <v>4.4793846153846157</v>
      </c>
      <c r="E296" s="368">
        <v>3500</v>
      </c>
      <c r="F296" s="368">
        <f t="shared" si="13"/>
        <v>15677.846153846154</v>
      </c>
      <c r="G296" s="400">
        <v>15000</v>
      </c>
      <c r="H296" s="400">
        <f t="shared" si="12"/>
        <v>67190.769230769234</v>
      </c>
      <c r="I296" s="400">
        <v>18000</v>
      </c>
      <c r="J296" s="368">
        <f t="shared" si="14"/>
        <v>80628.923076923078</v>
      </c>
    </row>
    <row r="297" spans="1:10" ht="19.5">
      <c r="A297" s="88"/>
      <c r="B297" s="46" t="str">
        <f>'[1]Emulsion Paint'!$B$24</f>
        <v>Roller</v>
      </c>
      <c r="C297" s="42" t="s">
        <v>44</v>
      </c>
      <c r="D297" s="113">
        <f>D290/100</f>
        <v>1.4558000000000002</v>
      </c>
      <c r="E297" s="368">
        <v>3500</v>
      </c>
      <c r="F297" s="368">
        <f t="shared" si="13"/>
        <v>5095.3000000000011</v>
      </c>
      <c r="G297" s="400">
        <v>1200</v>
      </c>
      <c r="H297" s="400">
        <f t="shared" si="12"/>
        <v>1746.9600000000003</v>
      </c>
      <c r="I297" s="400">
        <v>2200</v>
      </c>
      <c r="J297" s="368">
        <f t="shared" si="14"/>
        <v>3202.7600000000007</v>
      </c>
    </row>
    <row r="298" spans="1:10" ht="19.5">
      <c r="A298" s="88"/>
      <c r="B298" s="46" t="str">
        <f>'[1]Emulsion Paint'!$B$23</f>
        <v>Brush</v>
      </c>
      <c r="C298" s="42" t="s">
        <v>44</v>
      </c>
      <c r="D298" s="113">
        <f>D290/100</f>
        <v>1.4558000000000002</v>
      </c>
      <c r="E298" s="368">
        <v>3500</v>
      </c>
      <c r="F298" s="368">
        <f t="shared" si="13"/>
        <v>5095.3000000000011</v>
      </c>
      <c r="G298" s="400">
        <v>1200</v>
      </c>
      <c r="H298" s="400">
        <f t="shared" si="12"/>
        <v>1746.9600000000003</v>
      </c>
      <c r="I298" s="400">
        <v>600</v>
      </c>
      <c r="J298" s="368">
        <f t="shared" si="14"/>
        <v>873.48000000000013</v>
      </c>
    </row>
    <row r="299" spans="1:10" ht="19.5">
      <c r="A299" s="88"/>
      <c r="B299" s="46" t="s">
        <v>58</v>
      </c>
      <c r="C299" s="42" t="s">
        <v>59</v>
      </c>
      <c r="D299" s="113">
        <f>D290/100</f>
        <v>1.4558000000000002</v>
      </c>
      <c r="E299" s="368">
        <v>3500</v>
      </c>
      <c r="F299" s="368">
        <f t="shared" si="13"/>
        <v>5095.3000000000011</v>
      </c>
      <c r="G299" s="400">
        <v>1200</v>
      </c>
      <c r="H299" s="400">
        <f t="shared" si="12"/>
        <v>1746.9600000000003</v>
      </c>
      <c r="I299" s="400">
        <v>3500</v>
      </c>
      <c r="J299" s="368">
        <f t="shared" si="14"/>
        <v>5095.3000000000011</v>
      </c>
    </row>
    <row r="300" spans="1:10" ht="19.5">
      <c r="A300" s="89"/>
      <c r="B300" s="57" t="s">
        <v>5</v>
      </c>
      <c r="C300" s="58"/>
      <c r="D300" s="116"/>
      <c r="E300" s="378"/>
      <c r="F300" s="368">
        <f t="shared" si="13"/>
        <v>0</v>
      </c>
      <c r="G300" s="400"/>
      <c r="H300" s="400">
        <f t="shared" si="12"/>
        <v>0</v>
      </c>
      <c r="I300" s="400"/>
      <c r="J300" s="368">
        <f t="shared" si="14"/>
        <v>0</v>
      </c>
    </row>
    <row r="301" spans="1:10" ht="19.5">
      <c r="A301" s="88"/>
      <c r="B301" s="46"/>
      <c r="C301" s="42"/>
      <c r="D301" s="113"/>
      <c r="E301" s="368"/>
      <c r="F301" s="368">
        <f t="shared" si="13"/>
        <v>0</v>
      </c>
      <c r="G301" s="400"/>
      <c r="H301" s="400">
        <f t="shared" si="12"/>
        <v>0</v>
      </c>
      <c r="I301" s="400"/>
      <c r="J301" s="368">
        <f t="shared" si="14"/>
        <v>0</v>
      </c>
    </row>
    <row r="302" spans="1:10" ht="19.5">
      <c r="A302" s="88"/>
      <c r="B302" s="57" t="s">
        <v>6</v>
      </c>
      <c r="C302" s="42"/>
      <c r="D302" s="128"/>
      <c r="E302" s="368"/>
      <c r="F302" s="368">
        <f t="shared" si="13"/>
        <v>0</v>
      </c>
      <c r="G302" s="400"/>
      <c r="H302" s="400">
        <f t="shared" si="12"/>
        <v>0</v>
      </c>
      <c r="I302" s="400"/>
      <c r="J302" s="368">
        <f t="shared" si="14"/>
        <v>0</v>
      </c>
    </row>
    <row r="303" spans="1:10" ht="19.5">
      <c r="A303" s="88"/>
      <c r="B303" s="46" t="s">
        <v>7</v>
      </c>
      <c r="C303" s="42" t="s">
        <v>62</v>
      </c>
      <c r="D303" s="128">
        <f>D304</f>
        <v>10.736525</v>
      </c>
      <c r="E303" s="368">
        <v>4500</v>
      </c>
      <c r="F303" s="368">
        <f t="shared" si="13"/>
        <v>48314.362500000003</v>
      </c>
      <c r="G303" s="400">
        <v>5000</v>
      </c>
      <c r="H303" s="400">
        <f t="shared" si="12"/>
        <v>53682.625</v>
      </c>
      <c r="I303" s="400">
        <v>12869.7</v>
      </c>
      <c r="J303" s="368">
        <f t="shared" si="14"/>
        <v>138175.85579250002</v>
      </c>
    </row>
    <row r="304" spans="1:10" ht="19.5">
      <c r="A304" s="88"/>
      <c r="B304" s="46" t="s">
        <v>70</v>
      </c>
      <c r="C304" s="42" t="s">
        <v>62</v>
      </c>
      <c r="D304" s="128">
        <f>D290*(0.59/8)</f>
        <v>10.736525</v>
      </c>
      <c r="E304" s="368">
        <v>4800</v>
      </c>
      <c r="F304" s="368">
        <f t="shared" si="13"/>
        <v>51535.32</v>
      </c>
      <c r="G304" s="400">
        <v>12000</v>
      </c>
      <c r="H304" s="400">
        <f t="shared" si="12"/>
        <v>128838.3</v>
      </c>
      <c r="I304" s="400">
        <v>25500</v>
      </c>
      <c r="J304" s="368">
        <f t="shared" si="14"/>
        <v>273781.38750000001</v>
      </c>
    </row>
    <row r="305" spans="1:10" ht="19.5">
      <c r="A305" s="89"/>
      <c r="B305" s="57" t="s">
        <v>54</v>
      </c>
      <c r="C305" s="58"/>
      <c r="D305" s="129"/>
      <c r="E305" s="378"/>
      <c r="F305" s="368">
        <f t="shared" si="13"/>
        <v>0</v>
      </c>
      <c r="G305" s="400"/>
      <c r="H305" s="400">
        <f t="shared" si="12"/>
        <v>0</v>
      </c>
      <c r="I305" s="400"/>
      <c r="J305" s="368">
        <f t="shared" si="14"/>
        <v>0</v>
      </c>
    </row>
    <row r="306" spans="1:10" ht="19.5">
      <c r="A306" s="89"/>
      <c r="B306" s="57"/>
      <c r="C306" s="58"/>
      <c r="D306" s="129"/>
      <c r="E306" s="378"/>
      <c r="F306" s="368">
        <f t="shared" si="13"/>
        <v>0</v>
      </c>
      <c r="G306" s="400"/>
      <c r="H306" s="400">
        <f t="shared" si="12"/>
        <v>0</v>
      </c>
      <c r="I306" s="400"/>
      <c r="J306" s="368">
        <f t="shared" si="14"/>
        <v>0</v>
      </c>
    </row>
    <row r="307" spans="1:10" ht="36" customHeight="1">
      <c r="A307" s="262">
        <v>17</v>
      </c>
      <c r="B307" s="471" t="s">
        <v>131</v>
      </c>
      <c r="C307" s="471"/>
      <c r="D307" s="471"/>
      <c r="E307" s="420"/>
      <c r="F307" s="368">
        <f t="shared" si="13"/>
        <v>0</v>
      </c>
      <c r="G307" s="400"/>
      <c r="H307" s="400">
        <f t="shared" si="12"/>
        <v>0</v>
      </c>
      <c r="I307" s="400"/>
      <c r="J307" s="368">
        <f t="shared" si="14"/>
        <v>0</v>
      </c>
    </row>
    <row r="308" spans="1:10" ht="19.5">
      <c r="A308" s="1">
        <v>17.010000000000002</v>
      </c>
      <c r="B308" s="2" t="s">
        <v>130</v>
      </c>
      <c r="C308" s="247" t="s">
        <v>129</v>
      </c>
      <c r="D308" s="245">
        <v>2</v>
      </c>
      <c r="E308" s="386">
        <v>95550</v>
      </c>
      <c r="F308" s="367">
        <f t="shared" si="13"/>
        <v>191100</v>
      </c>
      <c r="G308" s="403"/>
      <c r="H308" s="367">
        <f>SUBTOTAL(9,H309:H317)</f>
        <v>530000</v>
      </c>
      <c r="I308" s="403">
        <v>284500</v>
      </c>
      <c r="J308" s="367">
        <f t="shared" si="14"/>
        <v>569000</v>
      </c>
    </row>
    <row r="309" spans="1:10" ht="19.5">
      <c r="A309" s="208"/>
      <c r="B309" s="7" t="s">
        <v>29</v>
      </c>
      <c r="C309" s="8"/>
      <c r="D309" s="128"/>
      <c r="E309" s="368"/>
      <c r="F309" s="368">
        <f t="shared" si="13"/>
        <v>0</v>
      </c>
      <c r="G309" s="400"/>
      <c r="H309" s="400">
        <f t="shared" si="12"/>
        <v>0</v>
      </c>
      <c r="I309" s="400"/>
      <c r="J309" s="368">
        <f t="shared" si="14"/>
        <v>0</v>
      </c>
    </row>
    <row r="310" spans="1:10" ht="19.5">
      <c r="A310" s="82"/>
      <c r="B310" s="12" t="s">
        <v>143</v>
      </c>
      <c r="C310" s="8" t="s">
        <v>144</v>
      </c>
      <c r="D310" s="128">
        <v>2</v>
      </c>
      <c r="E310" s="368">
        <v>73500</v>
      </c>
      <c r="F310" s="368">
        <f t="shared" si="13"/>
        <v>147000</v>
      </c>
      <c r="G310" s="400">
        <v>250000</v>
      </c>
      <c r="H310" s="400">
        <f t="shared" si="12"/>
        <v>500000</v>
      </c>
      <c r="I310" s="400">
        <v>269500</v>
      </c>
      <c r="J310" s="368">
        <f t="shared" si="14"/>
        <v>539000</v>
      </c>
    </row>
    <row r="311" spans="1:10" ht="19.5">
      <c r="A311" s="83"/>
      <c r="B311" s="7" t="s">
        <v>5</v>
      </c>
      <c r="C311" s="11"/>
      <c r="D311" s="129"/>
      <c r="E311" s="378"/>
      <c r="F311" s="368">
        <f t="shared" si="13"/>
        <v>0</v>
      </c>
      <c r="G311" s="400"/>
      <c r="H311" s="400">
        <f t="shared" si="12"/>
        <v>0</v>
      </c>
      <c r="I311" s="400"/>
      <c r="J311" s="368">
        <f t="shared" si="14"/>
        <v>0</v>
      </c>
    </row>
    <row r="312" spans="1:10" ht="19.5">
      <c r="A312" s="82"/>
      <c r="B312" s="12"/>
      <c r="C312" s="8"/>
      <c r="D312" s="128"/>
      <c r="E312" s="368"/>
      <c r="F312" s="368">
        <f t="shared" si="13"/>
        <v>0</v>
      </c>
      <c r="G312" s="400"/>
      <c r="H312" s="400">
        <f t="shared" si="12"/>
        <v>0</v>
      </c>
      <c r="I312" s="400"/>
      <c r="J312" s="368">
        <f t="shared" si="14"/>
        <v>0</v>
      </c>
    </row>
    <row r="313" spans="1:10" ht="19.5">
      <c r="A313" s="209"/>
      <c r="B313" s="7" t="s">
        <v>33</v>
      </c>
      <c r="C313" s="8"/>
      <c r="D313" s="128"/>
      <c r="E313" s="368"/>
      <c r="F313" s="368">
        <f t="shared" si="13"/>
        <v>0</v>
      </c>
      <c r="G313" s="400"/>
      <c r="H313" s="400">
        <f t="shared" si="12"/>
        <v>0</v>
      </c>
      <c r="I313" s="400"/>
      <c r="J313" s="368">
        <f t="shared" si="14"/>
        <v>0</v>
      </c>
    </row>
    <row r="314" spans="1:10" ht="19.5">
      <c r="A314" s="82"/>
      <c r="B314" s="12" t="s">
        <v>34</v>
      </c>
      <c r="C314" s="8" t="s">
        <v>21</v>
      </c>
      <c r="D314" s="113">
        <f>D308/2</f>
        <v>1</v>
      </c>
      <c r="E314" s="368">
        <v>11025</v>
      </c>
      <c r="F314" s="368">
        <f t="shared" si="13"/>
        <v>11025</v>
      </c>
      <c r="G314" s="400">
        <v>10000</v>
      </c>
      <c r="H314" s="400">
        <f t="shared" si="12"/>
        <v>10000</v>
      </c>
      <c r="I314" s="400">
        <v>24000</v>
      </c>
      <c r="J314" s="368">
        <f t="shared" si="14"/>
        <v>24000</v>
      </c>
    </row>
    <row r="315" spans="1:10" ht="19.5">
      <c r="A315" s="82"/>
      <c r="B315" s="12" t="s">
        <v>7</v>
      </c>
      <c r="C315" s="8" t="s">
        <v>21</v>
      </c>
      <c r="D315" s="113">
        <f>+D314*4</f>
        <v>4</v>
      </c>
      <c r="E315" s="368">
        <v>8268.75</v>
      </c>
      <c r="F315" s="368">
        <f t="shared" si="13"/>
        <v>33075</v>
      </c>
      <c r="G315" s="400">
        <v>5000</v>
      </c>
      <c r="H315" s="400">
        <f t="shared" si="12"/>
        <v>20000</v>
      </c>
      <c r="I315" s="400">
        <v>1500</v>
      </c>
      <c r="J315" s="368">
        <f t="shared" si="14"/>
        <v>6000</v>
      </c>
    </row>
    <row r="316" spans="1:10" ht="19.5">
      <c r="A316" s="83"/>
      <c r="B316" s="7" t="s">
        <v>39</v>
      </c>
      <c r="C316" s="11"/>
      <c r="D316" s="129"/>
      <c r="E316" s="378"/>
      <c r="F316" s="368">
        <f t="shared" si="13"/>
        <v>0</v>
      </c>
      <c r="G316" s="400"/>
      <c r="H316" s="400">
        <f t="shared" si="12"/>
        <v>0</v>
      </c>
      <c r="I316" s="400"/>
      <c r="J316" s="368">
        <f t="shared" si="14"/>
        <v>0</v>
      </c>
    </row>
    <row r="317" spans="1:10">
      <c r="A317" s="263"/>
      <c r="B317" s="46"/>
      <c r="C317" s="256"/>
      <c r="D317" s="264"/>
      <c r="E317" s="421"/>
      <c r="F317" s="368">
        <f t="shared" si="13"/>
        <v>0</v>
      </c>
      <c r="G317" s="400"/>
      <c r="H317" s="400">
        <f t="shared" si="12"/>
        <v>0</v>
      </c>
      <c r="I317" s="400"/>
      <c r="J317" s="368">
        <f t="shared" si="14"/>
        <v>0</v>
      </c>
    </row>
    <row r="318" spans="1:10" ht="37.5" customHeight="1">
      <c r="A318" s="262">
        <v>18</v>
      </c>
      <c r="B318" s="471" t="s">
        <v>132</v>
      </c>
      <c r="C318" s="471"/>
      <c r="D318" s="471"/>
      <c r="E318" s="420"/>
      <c r="F318" s="368">
        <f t="shared" si="13"/>
        <v>0</v>
      </c>
      <c r="G318" s="400"/>
      <c r="H318" s="400">
        <f t="shared" si="12"/>
        <v>0</v>
      </c>
      <c r="I318" s="400"/>
      <c r="J318" s="368">
        <f t="shared" si="14"/>
        <v>0</v>
      </c>
    </row>
    <row r="319" spans="1:10" ht="19.5">
      <c r="A319" s="1">
        <v>18.010000000000002</v>
      </c>
      <c r="B319" s="2" t="s">
        <v>133</v>
      </c>
      <c r="C319" s="247" t="s">
        <v>129</v>
      </c>
      <c r="D319" s="245">
        <v>2</v>
      </c>
      <c r="E319" s="424">
        <v>171990.00000000003</v>
      </c>
      <c r="F319" s="367">
        <f t="shared" si="13"/>
        <v>343980.00000000006</v>
      </c>
      <c r="G319" s="403"/>
      <c r="H319" s="367">
        <f>SUBTOTAL(9,H320:H326)</f>
        <v>430000</v>
      </c>
      <c r="I319" s="403">
        <v>483600</v>
      </c>
      <c r="J319" s="367">
        <f t="shared" si="14"/>
        <v>967200</v>
      </c>
    </row>
    <row r="320" spans="1:10" ht="19.5">
      <c r="A320" s="208"/>
      <c r="B320" s="7" t="s">
        <v>29</v>
      </c>
      <c r="C320" s="8"/>
      <c r="D320" s="128"/>
      <c r="E320" s="368"/>
      <c r="F320" s="368">
        <f t="shared" si="13"/>
        <v>0</v>
      </c>
      <c r="G320" s="400"/>
      <c r="H320" s="400">
        <f t="shared" si="12"/>
        <v>0</v>
      </c>
      <c r="I320" s="400"/>
      <c r="J320" s="368">
        <f t="shared" si="14"/>
        <v>0</v>
      </c>
    </row>
    <row r="321" spans="1:10" ht="19.5">
      <c r="A321" s="82"/>
      <c r="B321" s="12" t="s">
        <v>166</v>
      </c>
      <c r="C321" s="8" t="s">
        <v>144</v>
      </c>
      <c r="D321" s="128">
        <v>1</v>
      </c>
      <c r="E321" s="368">
        <v>245700.00000000003</v>
      </c>
      <c r="F321" s="368">
        <f t="shared" si="13"/>
        <v>245700.00000000003</v>
      </c>
      <c r="G321" s="400">
        <v>400000</v>
      </c>
      <c r="H321" s="400">
        <f t="shared" si="12"/>
        <v>400000</v>
      </c>
      <c r="I321" s="400">
        <v>453600</v>
      </c>
      <c r="J321" s="368">
        <f t="shared" si="14"/>
        <v>453600</v>
      </c>
    </row>
    <row r="322" spans="1:10" ht="19.5">
      <c r="A322" s="83"/>
      <c r="B322" s="7" t="s">
        <v>5</v>
      </c>
      <c r="C322" s="11"/>
      <c r="D322" s="129"/>
      <c r="E322" s="378"/>
      <c r="F322" s="368">
        <f t="shared" si="13"/>
        <v>0</v>
      </c>
      <c r="G322" s="400"/>
      <c r="H322" s="400">
        <f t="shared" si="12"/>
        <v>0</v>
      </c>
      <c r="I322" s="400"/>
      <c r="J322" s="368">
        <f t="shared" si="14"/>
        <v>0</v>
      </c>
    </row>
    <row r="323" spans="1:10" ht="19.5">
      <c r="A323" s="82"/>
      <c r="B323" s="12"/>
      <c r="C323" s="8"/>
      <c r="D323" s="128"/>
      <c r="E323" s="368"/>
      <c r="F323" s="368">
        <f t="shared" si="13"/>
        <v>0</v>
      </c>
      <c r="G323" s="400"/>
      <c r="H323" s="400">
        <f t="shared" si="12"/>
        <v>0</v>
      </c>
      <c r="I323" s="400"/>
      <c r="J323" s="368">
        <f t="shared" si="14"/>
        <v>0</v>
      </c>
    </row>
    <row r="324" spans="1:10" ht="19.5">
      <c r="A324" s="209"/>
      <c r="B324" s="7" t="s">
        <v>33</v>
      </c>
      <c r="C324" s="8"/>
      <c r="D324" s="128"/>
      <c r="E324" s="368"/>
      <c r="F324" s="368">
        <f t="shared" si="13"/>
        <v>0</v>
      </c>
      <c r="G324" s="400"/>
      <c r="H324" s="400">
        <f t="shared" si="12"/>
        <v>0</v>
      </c>
      <c r="I324" s="400"/>
      <c r="J324" s="368">
        <f t="shared" si="14"/>
        <v>0</v>
      </c>
    </row>
    <row r="325" spans="1:10" ht="19.5">
      <c r="A325" s="82"/>
      <c r="B325" s="12" t="s">
        <v>34</v>
      </c>
      <c r="C325" s="8" t="s">
        <v>21</v>
      </c>
      <c r="D325" s="113">
        <f>D319/2</f>
        <v>1</v>
      </c>
      <c r="E325" s="368">
        <v>24570.000000000004</v>
      </c>
      <c r="F325" s="368">
        <f t="shared" si="13"/>
        <v>24570.000000000004</v>
      </c>
      <c r="G325" s="400">
        <v>10000</v>
      </c>
      <c r="H325" s="400">
        <f t="shared" si="12"/>
        <v>10000</v>
      </c>
      <c r="I325" s="400">
        <v>24000</v>
      </c>
      <c r="J325" s="368">
        <f t="shared" si="14"/>
        <v>24000</v>
      </c>
    </row>
    <row r="326" spans="1:10" ht="19.5">
      <c r="A326" s="82"/>
      <c r="B326" s="12" t="s">
        <v>7</v>
      </c>
      <c r="C326" s="8" t="s">
        <v>21</v>
      </c>
      <c r="D326" s="113">
        <f>+D325*4</f>
        <v>4</v>
      </c>
      <c r="E326" s="368">
        <v>18427.500000000004</v>
      </c>
      <c r="F326" s="368">
        <f t="shared" si="13"/>
        <v>73710.000000000015</v>
      </c>
      <c r="G326" s="400">
        <v>5000</v>
      </c>
      <c r="H326" s="400">
        <f t="shared" si="12"/>
        <v>20000</v>
      </c>
      <c r="I326" s="400">
        <v>1500</v>
      </c>
      <c r="J326" s="368">
        <f t="shared" si="14"/>
        <v>6000</v>
      </c>
    </row>
    <row r="327" spans="1:10" ht="19.5">
      <c r="A327" s="83"/>
      <c r="B327" s="7" t="s">
        <v>39</v>
      </c>
      <c r="C327" s="11"/>
      <c r="D327" s="129"/>
      <c r="E327" s="378"/>
      <c r="F327" s="368">
        <f t="shared" si="13"/>
        <v>0</v>
      </c>
      <c r="G327" s="400"/>
      <c r="H327" s="400">
        <f t="shared" ref="H327:H335" si="15">D327*G327</f>
        <v>0</v>
      </c>
      <c r="I327" s="400"/>
      <c r="J327" s="368">
        <f t="shared" si="14"/>
        <v>0</v>
      </c>
    </row>
    <row r="328" spans="1:10" ht="19.5">
      <c r="A328" s="1">
        <v>18.02</v>
      </c>
      <c r="B328" s="2" t="s">
        <v>167</v>
      </c>
      <c r="C328" s="247" t="s">
        <v>129</v>
      </c>
      <c r="D328" s="245">
        <v>2</v>
      </c>
      <c r="E328" s="424">
        <v>147420.00000000003</v>
      </c>
      <c r="F328" s="367">
        <f t="shared" ref="F328:F335" si="16">D328*E328</f>
        <v>294840.00000000006</v>
      </c>
      <c r="G328" s="403"/>
      <c r="H328" s="367">
        <f>SUBTOTAL(9,H329:H335)</f>
        <v>330000</v>
      </c>
      <c r="I328" s="403">
        <v>241800</v>
      </c>
      <c r="J328" s="367">
        <f t="shared" ref="J328:J335" si="17">D328*I328</f>
        <v>483600</v>
      </c>
    </row>
    <row r="329" spans="1:10" ht="19.5">
      <c r="A329" s="208"/>
      <c r="B329" s="7" t="s">
        <v>29</v>
      </c>
      <c r="C329" s="8"/>
      <c r="D329" s="128"/>
      <c r="E329" s="368"/>
      <c r="F329" s="368">
        <f t="shared" si="16"/>
        <v>0</v>
      </c>
      <c r="G329" s="400"/>
      <c r="H329" s="400">
        <f t="shared" si="15"/>
        <v>0</v>
      </c>
      <c r="I329" s="400"/>
      <c r="J329" s="368">
        <f t="shared" si="17"/>
        <v>0</v>
      </c>
    </row>
    <row r="330" spans="1:10" ht="19.5">
      <c r="A330" s="82"/>
      <c r="B330" s="46" t="s">
        <v>163</v>
      </c>
      <c r="C330" s="229" t="s">
        <v>129</v>
      </c>
      <c r="D330" s="244">
        <v>2</v>
      </c>
      <c r="E330" s="422">
        <v>122850.00000000001</v>
      </c>
      <c r="F330" s="368">
        <f t="shared" si="16"/>
        <v>245700.00000000003</v>
      </c>
      <c r="G330" s="400">
        <v>150000</v>
      </c>
      <c r="H330" s="400">
        <f t="shared" si="15"/>
        <v>300000</v>
      </c>
      <c r="I330" s="400">
        <v>226800</v>
      </c>
      <c r="J330" s="368">
        <f t="shared" si="17"/>
        <v>453600</v>
      </c>
    </row>
    <row r="331" spans="1:10" ht="19.5">
      <c r="A331" s="83"/>
      <c r="B331" s="7" t="s">
        <v>5</v>
      </c>
      <c r="C331" s="11"/>
      <c r="D331" s="129"/>
      <c r="E331" s="378"/>
      <c r="F331" s="368">
        <f t="shared" si="16"/>
        <v>0</v>
      </c>
      <c r="G331" s="400"/>
      <c r="H331" s="400">
        <f t="shared" si="15"/>
        <v>0</v>
      </c>
      <c r="I331" s="400"/>
      <c r="J331" s="368">
        <f t="shared" si="17"/>
        <v>0</v>
      </c>
    </row>
    <row r="332" spans="1:10" ht="19.5">
      <c r="A332" s="82"/>
      <c r="B332" s="12"/>
      <c r="C332" s="8"/>
      <c r="D332" s="128"/>
      <c r="E332" s="368"/>
      <c r="F332" s="368">
        <f t="shared" si="16"/>
        <v>0</v>
      </c>
      <c r="G332" s="400"/>
      <c r="H332" s="400">
        <f t="shared" si="15"/>
        <v>0</v>
      </c>
      <c r="I332" s="400"/>
      <c r="J332" s="368">
        <f t="shared" si="17"/>
        <v>0</v>
      </c>
    </row>
    <row r="333" spans="1:10" ht="19.5">
      <c r="A333" s="209"/>
      <c r="B333" s="7" t="s">
        <v>33</v>
      </c>
      <c r="C333" s="8"/>
      <c r="D333" s="128"/>
      <c r="E333" s="368"/>
      <c r="F333" s="368">
        <f t="shared" si="16"/>
        <v>0</v>
      </c>
      <c r="G333" s="400"/>
      <c r="H333" s="400">
        <f t="shared" si="15"/>
        <v>0</v>
      </c>
      <c r="I333" s="400"/>
      <c r="J333" s="368">
        <f t="shared" si="17"/>
        <v>0</v>
      </c>
    </row>
    <row r="334" spans="1:10" ht="19.5">
      <c r="A334" s="82"/>
      <c r="B334" s="12" t="s">
        <v>34</v>
      </c>
      <c r="C334" s="8" t="s">
        <v>21</v>
      </c>
      <c r="D334" s="113">
        <f>D328/2</f>
        <v>1</v>
      </c>
      <c r="E334" s="368">
        <v>12285.000000000002</v>
      </c>
      <c r="F334" s="368">
        <f t="shared" si="16"/>
        <v>12285.000000000002</v>
      </c>
      <c r="G334" s="400">
        <v>10000</v>
      </c>
      <c r="H334" s="400">
        <f t="shared" si="15"/>
        <v>10000</v>
      </c>
      <c r="I334" s="400">
        <v>24000</v>
      </c>
      <c r="J334" s="368">
        <f t="shared" si="17"/>
        <v>24000</v>
      </c>
    </row>
    <row r="335" spans="1:10" ht="19.5">
      <c r="A335" s="82"/>
      <c r="B335" s="12" t="s">
        <v>7</v>
      </c>
      <c r="C335" s="8" t="s">
        <v>21</v>
      </c>
      <c r="D335" s="113">
        <f>+D334*4</f>
        <v>4</v>
      </c>
      <c r="E335" s="368">
        <v>9213.7500000000018</v>
      </c>
      <c r="F335" s="368">
        <f t="shared" si="16"/>
        <v>36855.000000000007</v>
      </c>
      <c r="G335" s="400">
        <v>5000</v>
      </c>
      <c r="H335" s="400">
        <f t="shared" si="15"/>
        <v>20000</v>
      </c>
      <c r="I335" s="400">
        <v>1500</v>
      </c>
      <c r="J335" s="368">
        <f t="shared" si="17"/>
        <v>6000</v>
      </c>
    </row>
    <row r="336" spans="1:10" ht="19.5">
      <c r="A336" s="281"/>
      <c r="B336" s="259" t="s">
        <v>39</v>
      </c>
      <c r="C336" s="223"/>
      <c r="D336" s="178"/>
      <c r="E336" s="378"/>
      <c r="F336" s="378"/>
      <c r="G336" s="400"/>
      <c r="H336" s="400"/>
      <c r="I336" s="400"/>
    </row>
    <row r="337" spans="1:10" s="280" customFormat="1" ht="37.5">
      <c r="A337" s="279"/>
      <c r="B337" s="472" t="s">
        <v>177</v>
      </c>
      <c r="C337" s="472"/>
      <c r="D337" s="472"/>
      <c r="E337" s="438"/>
      <c r="F337" s="438">
        <f>F5+F9+F16+F24+F32+F42+F60+F80+F91+F102+F114+F127+F138+F149+F162+F173+F184+F198+F218+F237+F249+F261+F277+F290+F308+F319+F328</f>
        <v>6864594.9894250222</v>
      </c>
      <c r="G337" s="413"/>
      <c r="H337" s="442">
        <f>H5+H9+H16+H24+H32+H42+H60+H80+H91+H102+H114+H127+H138+H149+H162+H173+H184+H198+H218+H237+H249+H261+H277+H290+H308+H319+H328</f>
        <v>8232703.4431591667</v>
      </c>
      <c r="I337" s="413"/>
      <c r="J337" s="442">
        <f>J5+J9+J16+J24+J32+J42+J60+J80+J91+J102+J114+J127+J138+J149+J162+J173+J184+J198+J218+J237+J249+J261+J277+J290+J308+J319+J328</f>
        <v>9429189.4954247959</v>
      </c>
    </row>
    <row r="338" spans="1:10">
      <c r="E338" s="441"/>
      <c r="F338" s="441"/>
      <c r="G338" s="85"/>
      <c r="H338" s="85"/>
      <c r="I338" s="85"/>
    </row>
  </sheetData>
  <mergeCells count="18">
    <mergeCell ref="B337:D337"/>
    <mergeCell ref="B276:D276"/>
    <mergeCell ref="B4:D4"/>
    <mergeCell ref="B15:D15"/>
    <mergeCell ref="B41:D41"/>
    <mergeCell ref="B79:D79"/>
    <mergeCell ref="B126:D126"/>
    <mergeCell ref="B289:D289"/>
    <mergeCell ref="B161:D161"/>
    <mergeCell ref="B183:D183"/>
    <mergeCell ref="B197:D197"/>
    <mergeCell ref="B217:D217"/>
    <mergeCell ref="B248:D248"/>
    <mergeCell ref="G2:H2"/>
    <mergeCell ref="I2:J2"/>
    <mergeCell ref="B307:D307"/>
    <mergeCell ref="B318:D318"/>
    <mergeCell ref="E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353"/>
  <sheetViews>
    <sheetView topLeftCell="A339" workbookViewId="0">
      <selection activeCell="F353" sqref="F353"/>
    </sheetView>
  </sheetViews>
  <sheetFormatPr defaultColWidth="8.85546875" defaultRowHeight="15.75"/>
  <cols>
    <col min="1" max="1" width="8.85546875" style="211"/>
    <col min="2" max="2" width="60.42578125" style="103" customWidth="1"/>
    <col min="3" max="3" width="10.140625" style="105" customWidth="1"/>
    <col min="4" max="4" width="14.5703125" style="76" customWidth="1"/>
    <col min="5" max="6" width="20.85546875" style="416" customWidth="1"/>
    <col min="7" max="7" width="12.42578125" style="400" customWidth="1"/>
    <col min="8" max="8" width="17" style="400" customWidth="1"/>
    <col min="9" max="9" width="11.42578125" style="400" customWidth="1"/>
    <col min="10" max="10" width="17.28515625" style="400" customWidth="1"/>
  </cols>
  <sheetData>
    <row r="2" spans="1:10" ht="21">
      <c r="E2" s="480" t="s">
        <v>225</v>
      </c>
      <c r="F2" s="481"/>
      <c r="G2" s="479" t="s">
        <v>229</v>
      </c>
      <c r="H2" s="479"/>
      <c r="I2" s="479" t="s">
        <v>228</v>
      </c>
      <c r="J2" s="479"/>
    </row>
    <row r="3" spans="1:10" s="66" customFormat="1" ht="37.5" customHeight="1">
      <c r="A3" s="207"/>
      <c r="B3" s="139" t="s">
        <v>120</v>
      </c>
      <c r="C3" s="139" t="s">
        <v>121</v>
      </c>
      <c r="D3" s="139" t="s">
        <v>122</v>
      </c>
      <c r="E3" s="455" t="s">
        <v>227</v>
      </c>
      <c r="F3" s="455" t="s">
        <v>226</v>
      </c>
      <c r="G3" s="456" t="s">
        <v>227</v>
      </c>
      <c r="H3" s="457" t="s">
        <v>226</v>
      </c>
      <c r="I3" s="456" t="s">
        <v>227</v>
      </c>
      <c r="J3" s="457" t="s">
        <v>226</v>
      </c>
    </row>
    <row r="4" spans="1:10" ht="19.5" customHeight="1">
      <c r="A4" s="140">
        <v>1</v>
      </c>
      <c r="B4" s="473" t="s">
        <v>93</v>
      </c>
      <c r="C4" s="473"/>
      <c r="D4" s="473"/>
      <c r="E4" s="458"/>
      <c r="F4" s="458"/>
    </row>
    <row r="5" spans="1:10" ht="18" customHeight="1">
      <c r="A5" s="179">
        <v>1.01</v>
      </c>
      <c r="B5" s="15" t="s">
        <v>94</v>
      </c>
      <c r="C5" s="34" t="s">
        <v>28</v>
      </c>
      <c r="D5" s="201">
        <f>16*0.8*0.4</f>
        <v>5.120000000000001</v>
      </c>
      <c r="E5" s="367">
        <v>2222.2222222222222</v>
      </c>
      <c r="F5" s="367">
        <f>SUBTOTAL(9,F7:F8)</f>
        <v>11377.777777777779</v>
      </c>
      <c r="G5" s="367"/>
      <c r="H5" s="367">
        <f>SUBTOTAL(9,H7:H8)</f>
        <v>28444.444444444449</v>
      </c>
      <c r="I5" s="367">
        <v>10000</v>
      </c>
      <c r="J5" s="367">
        <f t="shared" ref="J5:J68" si="0">D5*I5</f>
        <v>51200.000000000007</v>
      </c>
    </row>
    <row r="6" spans="1:10" ht="18" customHeight="1">
      <c r="A6" s="180"/>
      <c r="B6" s="7" t="s">
        <v>6</v>
      </c>
      <c r="C6" s="8"/>
      <c r="D6" s="106"/>
      <c r="E6" s="368"/>
      <c r="F6" s="368"/>
      <c r="J6" s="400">
        <f t="shared" si="0"/>
        <v>0</v>
      </c>
    </row>
    <row r="7" spans="1:10" ht="18" customHeight="1">
      <c r="A7" s="180"/>
      <c r="B7" s="12" t="s">
        <v>7</v>
      </c>
      <c r="C7" s="8" t="s">
        <v>8</v>
      </c>
      <c r="D7" s="24">
        <f>D5/0.9</f>
        <v>5.68888888888889</v>
      </c>
      <c r="E7" s="368">
        <v>2000</v>
      </c>
      <c r="F7" s="368">
        <f>D7*E7</f>
        <v>11377.777777777779</v>
      </c>
      <c r="G7" s="400">
        <v>5000</v>
      </c>
      <c r="H7" s="400">
        <f>D7*G7</f>
        <v>28444.444444444449</v>
      </c>
      <c r="I7" s="400">
        <v>9000</v>
      </c>
      <c r="J7" s="400">
        <f t="shared" si="0"/>
        <v>51200.000000000007</v>
      </c>
    </row>
    <row r="8" spans="1:10" ht="18" customHeight="1">
      <c r="A8" s="159"/>
      <c r="B8" s="57" t="s">
        <v>9</v>
      </c>
      <c r="C8" s="58"/>
      <c r="D8" s="196"/>
      <c r="E8" s="369"/>
      <c r="F8" s="368">
        <f t="shared" ref="F8:F71" si="1">D8*E8</f>
        <v>0</v>
      </c>
      <c r="H8" s="400">
        <f t="shared" ref="H8:H71" si="2">D8*G8</f>
        <v>0</v>
      </c>
      <c r="J8" s="400">
        <f t="shared" si="0"/>
        <v>0</v>
      </c>
    </row>
    <row r="9" spans="1:10" ht="18" customHeight="1">
      <c r="A9" s="179">
        <v>1.03</v>
      </c>
      <c r="B9" s="15" t="s">
        <v>114</v>
      </c>
      <c r="C9" s="34" t="s">
        <v>28</v>
      </c>
      <c r="D9" s="225">
        <f>(0.75*0.75*1.25)*2</f>
        <v>1.40625</v>
      </c>
      <c r="E9" s="367">
        <v>1444.4444444444443</v>
      </c>
      <c r="F9" s="367">
        <f>SUBTOTAL(9,F11:F12)</f>
        <v>2031.25</v>
      </c>
      <c r="G9" s="367"/>
      <c r="H9" s="367">
        <f>SUBTOTAL(9,H11:H12)</f>
        <v>10156.25</v>
      </c>
      <c r="I9" s="367">
        <v>11111</v>
      </c>
      <c r="J9" s="367">
        <f t="shared" si="0"/>
        <v>15624.84375</v>
      </c>
    </row>
    <row r="10" spans="1:10" ht="18" customHeight="1">
      <c r="A10" s="180"/>
      <c r="B10" s="7" t="s">
        <v>6</v>
      </c>
      <c r="C10" s="8"/>
      <c r="D10" s="24"/>
      <c r="E10" s="368"/>
      <c r="F10" s="368">
        <f t="shared" si="1"/>
        <v>0</v>
      </c>
      <c r="H10" s="400">
        <f t="shared" si="2"/>
        <v>0</v>
      </c>
      <c r="J10" s="400">
        <f t="shared" si="0"/>
        <v>0</v>
      </c>
    </row>
    <row r="11" spans="1:10" ht="18" customHeight="1">
      <c r="A11" s="180"/>
      <c r="B11" s="12" t="s">
        <v>92</v>
      </c>
      <c r="C11" s="8" t="s">
        <v>8</v>
      </c>
      <c r="D11" s="24">
        <f>D12/10</f>
        <v>0.15625</v>
      </c>
      <c r="E11" s="368">
        <v>2500</v>
      </c>
      <c r="F11" s="368">
        <f t="shared" si="1"/>
        <v>390.625</v>
      </c>
      <c r="G11" s="400">
        <v>15000</v>
      </c>
      <c r="H11" s="400">
        <f t="shared" si="2"/>
        <v>2343.75</v>
      </c>
      <c r="I11" s="400">
        <v>10000</v>
      </c>
      <c r="J11" s="400">
        <f t="shared" si="0"/>
        <v>1562.5</v>
      </c>
    </row>
    <row r="12" spans="1:10" ht="18" customHeight="1">
      <c r="A12" s="180"/>
      <c r="B12" s="12" t="s">
        <v>7</v>
      </c>
      <c r="C12" s="8" t="s">
        <v>8</v>
      </c>
      <c r="D12" s="24">
        <f>D9/0.9</f>
        <v>1.5625</v>
      </c>
      <c r="E12" s="368">
        <v>1050</v>
      </c>
      <c r="F12" s="368">
        <f t="shared" si="1"/>
        <v>1640.625</v>
      </c>
      <c r="G12" s="400">
        <v>5000</v>
      </c>
      <c r="H12" s="400">
        <f t="shared" si="2"/>
        <v>7812.5</v>
      </c>
      <c r="I12" s="400">
        <v>9000</v>
      </c>
      <c r="J12" s="400">
        <f t="shared" si="0"/>
        <v>14062.5</v>
      </c>
    </row>
    <row r="13" spans="1:10" ht="18" customHeight="1">
      <c r="A13" s="159"/>
      <c r="B13" s="57" t="s">
        <v>9</v>
      </c>
      <c r="C13" s="58"/>
      <c r="D13" s="194"/>
      <c r="E13" s="369"/>
      <c r="F13" s="368">
        <f t="shared" si="1"/>
        <v>0</v>
      </c>
      <c r="H13" s="400">
        <f t="shared" si="2"/>
        <v>0</v>
      </c>
      <c r="J13" s="400">
        <f t="shared" si="0"/>
        <v>0</v>
      </c>
    </row>
    <row r="14" spans="1:10" ht="18" customHeight="1">
      <c r="A14" s="181"/>
      <c r="B14" s="57"/>
      <c r="C14" s="42"/>
      <c r="D14" s="108"/>
      <c r="E14" s="370"/>
      <c r="F14" s="368">
        <f t="shared" si="1"/>
        <v>0</v>
      </c>
      <c r="H14" s="400">
        <f t="shared" si="2"/>
        <v>0</v>
      </c>
      <c r="J14" s="400">
        <f t="shared" si="0"/>
        <v>0</v>
      </c>
    </row>
    <row r="15" spans="1:10" ht="34.700000000000003" customHeight="1">
      <c r="A15" s="146">
        <v>2</v>
      </c>
      <c r="B15" s="467" t="s">
        <v>0</v>
      </c>
      <c r="C15" s="467"/>
      <c r="D15" s="467"/>
      <c r="E15" s="402"/>
      <c r="F15" s="368">
        <f t="shared" si="1"/>
        <v>0</v>
      </c>
      <c r="H15" s="400">
        <f t="shared" si="2"/>
        <v>0</v>
      </c>
      <c r="J15" s="400">
        <f t="shared" si="0"/>
        <v>0</v>
      </c>
    </row>
    <row r="16" spans="1:10" ht="18" customHeight="1">
      <c r="A16" s="182">
        <v>2.0099999999999998</v>
      </c>
      <c r="B16" s="2" t="s">
        <v>71</v>
      </c>
      <c r="C16" s="3" t="s">
        <v>1</v>
      </c>
      <c r="D16" s="195">
        <f>16*0.4</f>
        <v>6.4</v>
      </c>
      <c r="E16" s="371">
        <v>625</v>
      </c>
      <c r="F16" s="367">
        <f>SUBTOTAL(9,F17:F23)</f>
        <v>4000</v>
      </c>
      <c r="G16" s="403"/>
      <c r="H16" s="367">
        <f>SUBTOTAL(9,H17:H23)</f>
        <v>8213.3333333333339</v>
      </c>
      <c r="I16" s="403">
        <v>2000</v>
      </c>
      <c r="J16" s="403">
        <f t="shared" si="0"/>
        <v>12800</v>
      </c>
    </row>
    <row r="17" spans="1:10" ht="18" customHeight="1">
      <c r="A17" s="180"/>
      <c r="B17" s="7" t="s">
        <v>2</v>
      </c>
      <c r="C17" s="8"/>
      <c r="D17" s="24"/>
      <c r="E17" s="368"/>
      <c r="F17" s="368">
        <f t="shared" si="1"/>
        <v>0</v>
      </c>
      <c r="H17" s="400">
        <f t="shared" si="2"/>
        <v>0</v>
      </c>
      <c r="I17" s="400">
        <v>18000</v>
      </c>
      <c r="J17" s="400">
        <f t="shared" si="0"/>
        <v>0</v>
      </c>
    </row>
    <row r="18" spans="1:10" ht="18" customHeight="1">
      <c r="A18" s="180"/>
      <c r="B18" s="46" t="s">
        <v>3</v>
      </c>
      <c r="C18" s="8" t="s">
        <v>4</v>
      </c>
      <c r="D18" s="24">
        <f>D16/10</f>
        <v>0.64</v>
      </c>
      <c r="E18" s="368">
        <v>5500</v>
      </c>
      <c r="F18" s="368">
        <f t="shared" si="1"/>
        <v>3520</v>
      </c>
      <c r="G18" s="400">
        <v>12000</v>
      </c>
      <c r="H18" s="400">
        <f t="shared" si="2"/>
        <v>7680</v>
      </c>
      <c r="J18" s="400">
        <f t="shared" si="0"/>
        <v>0</v>
      </c>
    </row>
    <row r="19" spans="1:10" ht="18" customHeight="1">
      <c r="A19" s="155"/>
      <c r="B19" s="57" t="s">
        <v>5</v>
      </c>
      <c r="C19" s="11"/>
      <c r="D19" s="32"/>
      <c r="E19" s="378"/>
      <c r="F19" s="368">
        <f t="shared" si="1"/>
        <v>0</v>
      </c>
      <c r="H19" s="400">
        <f t="shared" si="2"/>
        <v>0</v>
      </c>
      <c r="J19" s="400">
        <f t="shared" si="0"/>
        <v>0</v>
      </c>
    </row>
    <row r="20" spans="1:10" ht="18" customHeight="1">
      <c r="A20" s="180"/>
      <c r="B20" s="46"/>
      <c r="C20" s="8"/>
      <c r="D20" s="24"/>
      <c r="E20" s="368"/>
      <c r="F20" s="368">
        <f t="shared" si="1"/>
        <v>0</v>
      </c>
      <c r="H20" s="400">
        <f t="shared" si="2"/>
        <v>0</v>
      </c>
      <c r="J20" s="400">
        <f t="shared" si="0"/>
        <v>0</v>
      </c>
    </row>
    <row r="21" spans="1:10" ht="18" customHeight="1">
      <c r="A21" s="180"/>
      <c r="B21" s="7" t="s">
        <v>6</v>
      </c>
      <c r="C21" s="8"/>
      <c r="D21" s="24"/>
      <c r="E21" s="368"/>
      <c r="F21" s="368">
        <f t="shared" si="1"/>
        <v>0</v>
      </c>
      <c r="H21" s="400">
        <f t="shared" si="2"/>
        <v>0</v>
      </c>
      <c r="I21" s="400">
        <v>12000</v>
      </c>
      <c r="J21" s="400">
        <f t="shared" si="0"/>
        <v>0</v>
      </c>
    </row>
    <row r="22" spans="1:10" ht="18" customHeight="1">
      <c r="A22" s="180"/>
      <c r="B22" s="12" t="s">
        <v>7</v>
      </c>
      <c r="C22" s="8" t="s">
        <v>8</v>
      </c>
      <c r="D22" s="24">
        <f>D16/60</f>
        <v>0.10666666666666667</v>
      </c>
      <c r="E22" s="368">
        <v>4500</v>
      </c>
      <c r="F22" s="368">
        <f t="shared" si="1"/>
        <v>480.00000000000006</v>
      </c>
      <c r="G22" s="400">
        <v>5000</v>
      </c>
      <c r="H22" s="400">
        <f t="shared" si="2"/>
        <v>533.33333333333337</v>
      </c>
      <c r="J22" s="400">
        <f t="shared" si="0"/>
        <v>0</v>
      </c>
    </row>
    <row r="23" spans="1:10" ht="18" customHeight="1">
      <c r="A23" s="159"/>
      <c r="B23" s="57" t="s">
        <v>9</v>
      </c>
      <c r="C23" s="58"/>
      <c r="D23" s="196"/>
      <c r="E23" s="369"/>
      <c r="F23" s="368">
        <f t="shared" si="1"/>
        <v>0</v>
      </c>
      <c r="H23" s="400">
        <f t="shared" si="2"/>
        <v>0</v>
      </c>
      <c r="I23" s="400">
        <v>2000</v>
      </c>
      <c r="J23" s="400">
        <f t="shared" si="0"/>
        <v>0</v>
      </c>
    </row>
    <row r="24" spans="1:10" ht="18" customHeight="1">
      <c r="A24" s="182">
        <v>2.02</v>
      </c>
      <c r="B24" s="2" t="s">
        <v>97</v>
      </c>
      <c r="C24" s="3" t="s">
        <v>1</v>
      </c>
      <c r="D24" s="195">
        <v>15</v>
      </c>
      <c r="E24" s="371">
        <v>958.33333333333337</v>
      </c>
      <c r="F24" s="367">
        <f>SUBTOTAL(9,F25:F31)</f>
        <v>14375</v>
      </c>
      <c r="G24" s="403"/>
      <c r="H24" s="367">
        <f>SUBTOTAL(9,H25:H31)</f>
        <v>19250</v>
      </c>
      <c r="I24" s="403"/>
      <c r="J24" s="367">
        <f>SUBTOTAL(9,J25:J31)</f>
        <v>30000</v>
      </c>
    </row>
    <row r="25" spans="1:10" ht="18" customHeight="1">
      <c r="A25" s="180"/>
      <c r="B25" s="7" t="s">
        <v>2</v>
      </c>
      <c r="C25" s="8"/>
      <c r="D25" s="24"/>
      <c r="E25" s="368"/>
      <c r="F25" s="368">
        <f t="shared" si="1"/>
        <v>0</v>
      </c>
      <c r="H25" s="400">
        <f t="shared" si="2"/>
        <v>0</v>
      </c>
      <c r="J25" s="400">
        <f t="shared" si="0"/>
        <v>0</v>
      </c>
    </row>
    <row r="26" spans="1:10" ht="18" customHeight="1">
      <c r="A26" s="180"/>
      <c r="B26" s="46" t="s">
        <v>3</v>
      </c>
      <c r="C26" s="8" t="s">
        <v>4</v>
      </c>
      <c r="D26" s="24">
        <f>D24/10</f>
        <v>1.5</v>
      </c>
      <c r="E26" s="368">
        <v>8500</v>
      </c>
      <c r="F26" s="368">
        <f t="shared" si="1"/>
        <v>12750</v>
      </c>
      <c r="G26" s="400">
        <v>12000</v>
      </c>
      <c r="H26" s="400">
        <f t="shared" si="2"/>
        <v>18000</v>
      </c>
      <c r="I26" s="400">
        <v>18000</v>
      </c>
      <c r="J26" s="400">
        <f t="shared" si="0"/>
        <v>27000</v>
      </c>
    </row>
    <row r="27" spans="1:10" ht="18" customHeight="1">
      <c r="A27" s="155"/>
      <c r="B27" s="57" t="s">
        <v>5</v>
      </c>
      <c r="C27" s="11"/>
      <c r="D27" s="32"/>
      <c r="E27" s="378"/>
      <c r="F27" s="368">
        <f t="shared" si="1"/>
        <v>0</v>
      </c>
      <c r="H27" s="400">
        <f t="shared" si="2"/>
        <v>0</v>
      </c>
      <c r="J27" s="400">
        <f t="shared" si="0"/>
        <v>0</v>
      </c>
    </row>
    <row r="28" spans="1:10" ht="18" customHeight="1">
      <c r="A28" s="180"/>
      <c r="B28" s="46"/>
      <c r="C28" s="8"/>
      <c r="D28" s="24"/>
      <c r="E28" s="368"/>
      <c r="F28" s="368">
        <f t="shared" si="1"/>
        <v>0</v>
      </c>
      <c r="H28" s="400">
        <f t="shared" si="2"/>
        <v>0</v>
      </c>
      <c r="J28" s="400">
        <f t="shared" si="0"/>
        <v>0</v>
      </c>
    </row>
    <row r="29" spans="1:10" ht="18" customHeight="1">
      <c r="A29" s="180"/>
      <c r="B29" s="7" t="s">
        <v>6</v>
      </c>
      <c r="C29" s="8"/>
      <c r="D29" s="24"/>
      <c r="E29" s="368"/>
      <c r="F29" s="368">
        <f t="shared" si="1"/>
        <v>0</v>
      </c>
      <c r="H29" s="400">
        <f t="shared" si="2"/>
        <v>0</v>
      </c>
      <c r="J29" s="400">
        <f t="shared" si="0"/>
        <v>0</v>
      </c>
    </row>
    <row r="30" spans="1:10" ht="18" customHeight="1">
      <c r="A30" s="180"/>
      <c r="B30" s="12" t="s">
        <v>7</v>
      </c>
      <c r="C30" s="8" t="s">
        <v>8</v>
      </c>
      <c r="D30" s="24">
        <f>D24/60</f>
        <v>0.25</v>
      </c>
      <c r="E30" s="368">
        <v>6500</v>
      </c>
      <c r="F30" s="368">
        <f t="shared" si="1"/>
        <v>1625</v>
      </c>
      <c r="G30" s="400">
        <v>5000</v>
      </c>
      <c r="H30" s="400">
        <f t="shared" si="2"/>
        <v>1250</v>
      </c>
      <c r="I30" s="400">
        <v>12000</v>
      </c>
      <c r="J30" s="400">
        <f t="shared" si="0"/>
        <v>3000</v>
      </c>
    </row>
    <row r="31" spans="1:10" ht="18" customHeight="1">
      <c r="A31" s="159"/>
      <c r="B31" s="57" t="s">
        <v>9</v>
      </c>
      <c r="C31" s="58"/>
      <c r="D31" s="196"/>
      <c r="E31" s="369"/>
      <c r="F31" s="368">
        <f t="shared" si="1"/>
        <v>0</v>
      </c>
      <c r="H31" s="400">
        <f t="shared" si="2"/>
        <v>0</v>
      </c>
      <c r="J31" s="400">
        <f>D31*I30</f>
        <v>0</v>
      </c>
    </row>
    <row r="32" spans="1:10" ht="18" customHeight="1">
      <c r="A32" s="179">
        <v>2.0299999999999998</v>
      </c>
      <c r="B32" s="15" t="s">
        <v>96</v>
      </c>
      <c r="C32" s="34" t="s">
        <v>1</v>
      </c>
      <c r="D32" s="201">
        <f>(0.75*0.75)*2</f>
        <v>1.125</v>
      </c>
      <c r="E32" s="367">
        <v>958.33333333333337</v>
      </c>
      <c r="F32" s="367">
        <f>SUBTOTAL(9,F33:F40)</f>
        <v>1078.125</v>
      </c>
      <c r="G32" s="403"/>
      <c r="H32" s="367">
        <f>SUBTOTAL(9,H33:H40)</f>
        <v>1443.75</v>
      </c>
      <c r="I32" s="403"/>
      <c r="J32" s="367">
        <f>SUBTOTAL(9,J33:J40)</f>
        <v>2250</v>
      </c>
    </row>
    <row r="33" spans="1:10" ht="18" customHeight="1">
      <c r="A33" s="180"/>
      <c r="B33" s="7" t="s">
        <v>2</v>
      </c>
      <c r="C33" s="8"/>
      <c r="D33" s="24"/>
      <c r="E33" s="368"/>
      <c r="F33" s="368">
        <f t="shared" si="1"/>
        <v>0</v>
      </c>
      <c r="H33" s="400">
        <f t="shared" si="2"/>
        <v>0</v>
      </c>
      <c r="J33" s="400">
        <f t="shared" si="0"/>
        <v>0</v>
      </c>
    </row>
    <row r="34" spans="1:10" ht="18" customHeight="1">
      <c r="A34" s="180"/>
      <c r="B34" s="46" t="s">
        <v>3</v>
      </c>
      <c r="C34" s="8" t="s">
        <v>4</v>
      </c>
      <c r="D34" s="24">
        <f>D32/10</f>
        <v>0.1125</v>
      </c>
      <c r="E34" s="368">
        <v>8500</v>
      </c>
      <c r="F34" s="368">
        <f t="shared" si="1"/>
        <v>956.25</v>
      </c>
      <c r="G34" s="400">
        <v>12000</v>
      </c>
      <c r="H34" s="400">
        <f t="shared" si="2"/>
        <v>1350</v>
      </c>
      <c r="I34" s="400">
        <v>18000</v>
      </c>
      <c r="J34" s="400">
        <f t="shared" si="0"/>
        <v>2025</v>
      </c>
    </row>
    <row r="35" spans="1:10" ht="18" customHeight="1">
      <c r="A35" s="155"/>
      <c r="B35" s="57" t="s">
        <v>5</v>
      </c>
      <c r="C35" s="11"/>
      <c r="D35" s="32"/>
      <c r="E35" s="378"/>
      <c r="F35" s="368">
        <f t="shared" si="1"/>
        <v>0</v>
      </c>
      <c r="H35" s="400">
        <f t="shared" si="2"/>
        <v>0</v>
      </c>
      <c r="J35" s="400">
        <f t="shared" si="0"/>
        <v>0</v>
      </c>
    </row>
    <row r="36" spans="1:10" ht="18" customHeight="1">
      <c r="A36" s="155"/>
      <c r="B36" s="57"/>
      <c r="C36" s="11"/>
      <c r="D36" s="32"/>
      <c r="E36" s="378"/>
      <c r="F36" s="368">
        <f t="shared" si="1"/>
        <v>0</v>
      </c>
      <c r="H36" s="400">
        <f t="shared" si="2"/>
        <v>0</v>
      </c>
      <c r="J36" s="400">
        <f t="shared" si="0"/>
        <v>0</v>
      </c>
    </row>
    <row r="37" spans="1:10" ht="18" customHeight="1">
      <c r="A37" s="180"/>
      <c r="B37" s="7" t="s">
        <v>6</v>
      </c>
      <c r="C37" s="8"/>
      <c r="D37" s="24"/>
      <c r="E37" s="368"/>
      <c r="F37" s="368">
        <f t="shared" si="1"/>
        <v>0</v>
      </c>
      <c r="H37" s="400">
        <f t="shared" si="2"/>
        <v>0</v>
      </c>
      <c r="J37" s="400">
        <f t="shared" si="0"/>
        <v>0</v>
      </c>
    </row>
    <row r="38" spans="1:10" ht="18" customHeight="1">
      <c r="A38" s="180"/>
      <c r="B38" s="12" t="s">
        <v>7</v>
      </c>
      <c r="C38" s="8" t="s">
        <v>8</v>
      </c>
      <c r="D38" s="24">
        <f>D32/60</f>
        <v>1.8749999999999999E-2</v>
      </c>
      <c r="E38" s="368">
        <v>6500</v>
      </c>
      <c r="F38" s="368">
        <f t="shared" si="1"/>
        <v>121.875</v>
      </c>
      <c r="G38" s="400">
        <v>5000</v>
      </c>
      <c r="H38" s="400">
        <f t="shared" si="2"/>
        <v>93.75</v>
      </c>
      <c r="I38" s="400">
        <v>12000</v>
      </c>
      <c r="J38" s="400">
        <f>D38*I38</f>
        <v>225</v>
      </c>
    </row>
    <row r="39" spans="1:10" ht="18" customHeight="1">
      <c r="A39" s="159"/>
      <c r="B39" s="57" t="s">
        <v>9</v>
      </c>
      <c r="C39" s="58"/>
      <c r="D39" s="196"/>
      <c r="E39" s="369"/>
      <c r="F39" s="368">
        <f t="shared" si="1"/>
        <v>0</v>
      </c>
      <c r="H39" s="400">
        <f t="shared" si="2"/>
        <v>0</v>
      </c>
      <c r="J39" s="400">
        <f t="shared" si="0"/>
        <v>0</v>
      </c>
    </row>
    <row r="40" spans="1:10" ht="18" customHeight="1">
      <c r="A40" s="159"/>
      <c r="B40" s="57"/>
      <c r="C40" s="58"/>
      <c r="D40" s="194"/>
      <c r="E40" s="369"/>
      <c r="F40" s="368">
        <f t="shared" si="1"/>
        <v>0</v>
      </c>
      <c r="H40" s="400">
        <f t="shared" si="2"/>
        <v>0</v>
      </c>
      <c r="J40" s="400">
        <f t="shared" si="0"/>
        <v>0</v>
      </c>
    </row>
    <row r="41" spans="1:10" ht="18" customHeight="1">
      <c r="A41" s="149">
        <v>3</v>
      </c>
      <c r="B41" s="474" t="s">
        <v>77</v>
      </c>
      <c r="C41" s="474"/>
      <c r="D41" s="474"/>
      <c r="E41" s="372"/>
      <c r="F41" s="368">
        <f t="shared" si="1"/>
        <v>0</v>
      </c>
      <c r="H41" s="400">
        <f t="shared" si="2"/>
        <v>0</v>
      </c>
      <c r="J41" s="400">
        <f t="shared" si="0"/>
        <v>0</v>
      </c>
    </row>
    <row r="42" spans="1:10" ht="18" customHeight="1">
      <c r="A42" s="179">
        <v>3.01</v>
      </c>
      <c r="B42" s="15" t="s">
        <v>71</v>
      </c>
      <c r="C42" s="3" t="s">
        <v>1</v>
      </c>
      <c r="D42" s="195">
        <f>16*0.4</f>
        <v>6.4</v>
      </c>
      <c r="E42" s="371">
        <v>4699.963589743591</v>
      </c>
      <c r="F42" s="367">
        <f>SUBTOTAL(9,F43:F59)</f>
        <v>30079.766974358983</v>
      </c>
      <c r="G42" s="403"/>
      <c r="H42" s="367">
        <f>SUBTOTAL(9,H43:H59)</f>
        <v>38460.980512820526</v>
      </c>
      <c r="I42" s="403">
        <v>9007.2489230769261</v>
      </c>
      <c r="J42" s="403">
        <f t="shared" si="0"/>
        <v>57646.393107692333</v>
      </c>
    </row>
    <row r="43" spans="1:10" ht="18" customHeight="1">
      <c r="A43" s="183"/>
      <c r="B43" s="18"/>
      <c r="C43" s="19" t="s">
        <v>10</v>
      </c>
      <c r="D43" s="204">
        <f>D42*0.05</f>
        <v>0.32000000000000006</v>
      </c>
      <c r="E43" s="373"/>
      <c r="F43" s="368">
        <f t="shared" si="1"/>
        <v>0</v>
      </c>
      <c r="H43" s="400">
        <f t="shared" si="2"/>
        <v>0</v>
      </c>
      <c r="I43" s="400">
        <v>180140</v>
      </c>
      <c r="J43" s="400">
        <f t="shared" si="0"/>
        <v>57644.80000000001</v>
      </c>
    </row>
    <row r="44" spans="1:10" ht="18" customHeight="1">
      <c r="A44" s="184"/>
      <c r="B44" s="93" t="s">
        <v>2</v>
      </c>
      <c r="C44" s="22"/>
      <c r="D44" s="24"/>
      <c r="E44" s="374"/>
      <c r="F44" s="368">
        <f t="shared" si="1"/>
        <v>0</v>
      </c>
      <c r="H44" s="400">
        <f t="shared" si="2"/>
        <v>0</v>
      </c>
      <c r="J44" s="400">
        <f t="shared" si="0"/>
        <v>0</v>
      </c>
    </row>
    <row r="45" spans="1:10" ht="18" customHeight="1">
      <c r="A45" s="184"/>
      <c r="B45" s="94" t="s">
        <v>11</v>
      </c>
      <c r="C45" s="22" t="s">
        <v>12</v>
      </c>
      <c r="D45" s="24">
        <f>D43*(1/13)*1.57*(1440/50)</f>
        <v>1.1130092307692312</v>
      </c>
      <c r="E45" s="374">
        <v>11200</v>
      </c>
      <c r="F45" s="368">
        <f t="shared" si="1"/>
        <v>12465.70338461539</v>
      </c>
      <c r="G45" s="400">
        <v>14000</v>
      </c>
      <c r="H45" s="400">
        <f t="shared" si="2"/>
        <v>15582.129230769237</v>
      </c>
      <c r="I45" s="400">
        <v>13500</v>
      </c>
      <c r="J45" s="400">
        <f t="shared" si="0"/>
        <v>15025.62461538462</v>
      </c>
    </row>
    <row r="46" spans="1:10" ht="18" customHeight="1">
      <c r="A46" s="184"/>
      <c r="B46" s="94" t="s">
        <v>13</v>
      </c>
      <c r="C46" s="22" t="s">
        <v>10</v>
      </c>
      <c r="D46" s="24">
        <f>D43*(4/13)*1.57</f>
        <v>0.15458461538461543</v>
      </c>
      <c r="E46" s="374">
        <v>30500</v>
      </c>
      <c r="F46" s="368">
        <f t="shared" si="1"/>
        <v>4714.8307692307708</v>
      </c>
      <c r="G46" s="400">
        <v>25000</v>
      </c>
      <c r="H46" s="400">
        <f t="shared" si="2"/>
        <v>3864.6153846153857</v>
      </c>
      <c r="I46" s="400">
        <v>40000</v>
      </c>
      <c r="J46" s="400">
        <f t="shared" si="0"/>
        <v>6183.3846153846171</v>
      </c>
    </row>
    <row r="47" spans="1:10" ht="18" customHeight="1">
      <c r="A47" s="184"/>
      <c r="B47" s="94" t="s">
        <v>14</v>
      </c>
      <c r="C47" s="22" t="s">
        <v>10</v>
      </c>
      <c r="D47" s="24">
        <f>D43*(8/13)*1.57</f>
        <v>0.30916923076923086</v>
      </c>
      <c r="E47" s="374">
        <v>32300</v>
      </c>
      <c r="F47" s="368">
        <f t="shared" si="1"/>
        <v>9986.1661538461576</v>
      </c>
      <c r="G47" s="400">
        <v>27000</v>
      </c>
      <c r="H47" s="400">
        <f t="shared" si="2"/>
        <v>8347.5692307692334</v>
      </c>
      <c r="I47" s="400">
        <v>48312</v>
      </c>
      <c r="J47" s="400">
        <f t="shared" si="0"/>
        <v>14936.583876923081</v>
      </c>
    </row>
    <row r="48" spans="1:10" ht="18" customHeight="1">
      <c r="A48" s="184"/>
      <c r="B48" s="94" t="s">
        <v>15</v>
      </c>
      <c r="C48" s="22" t="s">
        <v>16</v>
      </c>
      <c r="D48" s="24">
        <f>D52*10</f>
        <v>0.53333333333333344</v>
      </c>
      <c r="E48" s="374">
        <v>2200</v>
      </c>
      <c r="F48" s="368">
        <f t="shared" si="1"/>
        <v>1173.3333333333335</v>
      </c>
      <c r="G48" s="400">
        <v>2000</v>
      </c>
      <c r="H48" s="400">
        <f t="shared" si="2"/>
        <v>1066.666666666667</v>
      </c>
      <c r="I48" s="400">
        <v>2000</v>
      </c>
      <c r="J48" s="400">
        <f t="shared" si="0"/>
        <v>1066.666666666667</v>
      </c>
    </row>
    <row r="49" spans="1:10" ht="18" customHeight="1">
      <c r="A49" s="153"/>
      <c r="B49" s="93" t="s">
        <v>18</v>
      </c>
      <c r="C49" s="27"/>
      <c r="D49" s="32"/>
      <c r="E49" s="381"/>
      <c r="F49" s="368">
        <f t="shared" si="1"/>
        <v>0</v>
      </c>
      <c r="H49" s="400">
        <f t="shared" si="2"/>
        <v>0</v>
      </c>
      <c r="J49" s="400">
        <f t="shared" si="0"/>
        <v>0</v>
      </c>
    </row>
    <row r="50" spans="1:10" ht="18" customHeight="1">
      <c r="A50" s="184"/>
      <c r="B50" s="94"/>
      <c r="C50" s="22"/>
      <c r="D50" s="24"/>
      <c r="E50" s="374"/>
      <c r="F50" s="368">
        <f t="shared" si="1"/>
        <v>0</v>
      </c>
      <c r="H50" s="400">
        <f t="shared" si="2"/>
        <v>0</v>
      </c>
      <c r="J50" s="400">
        <f t="shared" si="0"/>
        <v>0</v>
      </c>
    </row>
    <row r="51" spans="1:10" ht="18" customHeight="1">
      <c r="A51" s="184"/>
      <c r="B51" s="93" t="s">
        <v>19</v>
      </c>
      <c r="C51" s="22"/>
      <c r="D51" s="24"/>
      <c r="E51" s="374"/>
      <c r="F51" s="368">
        <f t="shared" si="1"/>
        <v>0</v>
      </c>
      <c r="H51" s="400">
        <f t="shared" si="2"/>
        <v>0</v>
      </c>
      <c r="J51" s="400">
        <f t="shared" si="0"/>
        <v>0</v>
      </c>
    </row>
    <row r="52" spans="1:10" ht="18" customHeight="1">
      <c r="A52" s="184"/>
      <c r="B52" s="94" t="s">
        <v>20</v>
      </c>
      <c r="C52" s="22" t="s">
        <v>21</v>
      </c>
      <c r="D52" s="24">
        <f>D43/6</f>
        <v>5.3333333333333344E-2</v>
      </c>
      <c r="E52" s="374">
        <v>5050</v>
      </c>
      <c r="F52" s="368">
        <f t="shared" si="1"/>
        <v>269.33333333333337</v>
      </c>
      <c r="G52" s="400">
        <v>50000</v>
      </c>
      <c r="H52" s="400">
        <f t="shared" si="2"/>
        <v>2666.666666666667</v>
      </c>
      <c r="I52" s="400">
        <v>80000</v>
      </c>
      <c r="J52" s="400">
        <f t="shared" si="0"/>
        <v>4266.6666666666679</v>
      </c>
    </row>
    <row r="53" spans="1:10" ht="18" customHeight="1">
      <c r="A53" s="153"/>
      <c r="B53" s="93" t="s">
        <v>23</v>
      </c>
      <c r="C53" s="27"/>
      <c r="D53" s="32"/>
      <c r="E53" s="381"/>
      <c r="F53" s="368">
        <f t="shared" si="1"/>
        <v>0</v>
      </c>
      <c r="H53" s="400">
        <f t="shared" si="2"/>
        <v>0</v>
      </c>
      <c r="J53" s="400">
        <f t="shared" si="0"/>
        <v>0</v>
      </c>
    </row>
    <row r="54" spans="1:10" ht="18" customHeight="1">
      <c r="A54" s="184"/>
      <c r="B54" s="94"/>
      <c r="C54" s="22"/>
      <c r="D54" s="24"/>
      <c r="E54" s="374"/>
      <c r="F54" s="368">
        <f t="shared" si="1"/>
        <v>0</v>
      </c>
      <c r="H54" s="400">
        <f t="shared" si="2"/>
        <v>0</v>
      </c>
      <c r="J54" s="400">
        <f t="shared" si="0"/>
        <v>0</v>
      </c>
    </row>
    <row r="55" spans="1:10" ht="18" customHeight="1">
      <c r="A55" s="184"/>
      <c r="B55" s="93" t="s">
        <v>6</v>
      </c>
      <c r="C55" s="22"/>
      <c r="D55" s="24"/>
      <c r="E55" s="374"/>
      <c r="F55" s="368">
        <f t="shared" si="1"/>
        <v>0</v>
      </c>
      <c r="H55" s="400">
        <f t="shared" si="2"/>
        <v>0</v>
      </c>
      <c r="J55" s="400">
        <f t="shared" si="0"/>
        <v>0</v>
      </c>
    </row>
    <row r="56" spans="1:10" ht="18" customHeight="1">
      <c r="A56" s="184"/>
      <c r="B56" s="94" t="s">
        <v>24</v>
      </c>
      <c r="C56" s="22" t="s">
        <v>21</v>
      </c>
      <c r="D56" s="24">
        <f>(D43/6)*2</f>
        <v>0.10666666666666669</v>
      </c>
      <c r="E56" s="374">
        <v>1500</v>
      </c>
      <c r="F56" s="368">
        <f t="shared" si="1"/>
        <v>160.00000000000003</v>
      </c>
      <c r="G56" s="400">
        <v>10000</v>
      </c>
      <c r="H56" s="400">
        <f t="shared" si="2"/>
        <v>1066.666666666667</v>
      </c>
      <c r="I56" s="400">
        <v>90000</v>
      </c>
      <c r="J56" s="400">
        <f t="shared" si="0"/>
        <v>9600.0000000000018</v>
      </c>
    </row>
    <row r="57" spans="1:10" ht="18" customHeight="1">
      <c r="A57" s="184"/>
      <c r="B57" s="94" t="s">
        <v>25</v>
      </c>
      <c r="C57" s="22" t="s">
        <v>21</v>
      </c>
      <c r="D57" s="24">
        <f>(D43/6)*18</f>
        <v>0.96000000000000019</v>
      </c>
      <c r="E57" s="374">
        <v>1280</v>
      </c>
      <c r="F57" s="368">
        <f t="shared" si="1"/>
        <v>1228.8000000000002</v>
      </c>
      <c r="G57" s="400">
        <v>5000</v>
      </c>
      <c r="H57" s="400">
        <f t="shared" si="2"/>
        <v>4800.0000000000009</v>
      </c>
      <c r="I57" s="400">
        <v>5730</v>
      </c>
      <c r="J57" s="400">
        <f t="shared" si="0"/>
        <v>5500.8000000000011</v>
      </c>
    </row>
    <row r="58" spans="1:10" ht="18" customHeight="1">
      <c r="A58" s="184"/>
      <c r="B58" s="94" t="s">
        <v>26</v>
      </c>
      <c r="C58" s="22" t="s">
        <v>21</v>
      </c>
      <c r="D58" s="24">
        <f>D52</f>
        <v>5.3333333333333344E-2</v>
      </c>
      <c r="E58" s="374">
        <v>1530</v>
      </c>
      <c r="F58" s="368">
        <f t="shared" si="1"/>
        <v>81.600000000000023</v>
      </c>
      <c r="G58" s="400">
        <v>20000</v>
      </c>
      <c r="H58" s="400">
        <f t="shared" si="2"/>
        <v>1066.666666666667</v>
      </c>
      <c r="I58" s="400">
        <v>20000</v>
      </c>
      <c r="J58" s="400">
        <f t="shared" si="0"/>
        <v>1066.666666666667</v>
      </c>
    </row>
    <row r="59" spans="1:10" ht="18" customHeight="1">
      <c r="A59" s="153"/>
      <c r="B59" s="93" t="s">
        <v>27</v>
      </c>
      <c r="C59" s="27"/>
      <c r="D59" s="32"/>
      <c r="E59" s="381"/>
      <c r="F59" s="368">
        <f t="shared" si="1"/>
        <v>0</v>
      </c>
      <c r="H59" s="400">
        <f t="shared" si="2"/>
        <v>0</v>
      </c>
      <c r="J59" s="400">
        <f t="shared" si="0"/>
        <v>0</v>
      </c>
    </row>
    <row r="60" spans="1:10" ht="18" customHeight="1">
      <c r="A60" s="179">
        <v>3.02</v>
      </c>
      <c r="B60" s="15" t="s">
        <v>98</v>
      </c>
      <c r="C60" s="3" t="s">
        <v>1</v>
      </c>
      <c r="D60" s="195">
        <f>(0.75*0.75)*2</f>
        <v>1.125</v>
      </c>
      <c r="E60" s="371">
        <v>4619.1302564102562</v>
      </c>
      <c r="F60" s="367">
        <f>SUBTOTAL(9,F61:F79)</f>
        <v>5196.5215384615385</v>
      </c>
      <c r="G60" s="403"/>
      <c r="H60" s="367">
        <f>SUBTOTAL(9,H61:H79)</f>
        <v>6760.7192307692312</v>
      </c>
      <c r="I60" s="403">
        <v>8522.9117435897442</v>
      </c>
      <c r="J60" s="403">
        <f t="shared" si="0"/>
        <v>9588.2757115384629</v>
      </c>
    </row>
    <row r="61" spans="1:10" ht="18" customHeight="1">
      <c r="A61" s="183"/>
      <c r="B61" s="18"/>
      <c r="C61" s="19" t="s">
        <v>10</v>
      </c>
      <c r="D61" s="204">
        <f>D60*0.05</f>
        <v>5.6250000000000001E-2</v>
      </c>
      <c r="E61" s="373"/>
      <c r="F61" s="368">
        <f t="shared" si="1"/>
        <v>0</v>
      </c>
      <c r="H61" s="400">
        <f t="shared" si="2"/>
        <v>0</v>
      </c>
      <c r="I61" s="400">
        <v>170454</v>
      </c>
      <c r="J61" s="400">
        <f t="shared" si="0"/>
        <v>9588.0375000000004</v>
      </c>
    </row>
    <row r="62" spans="1:10" ht="18" customHeight="1">
      <c r="A62" s="184"/>
      <c r="B62" s="93" t="s">
        <v>2</v>
      </c>
      <c r="C62" s="22"/>
      <c r="D62" s="24"/>
      <c r="E62" s="374"/>
      <c r="F62" s="368">
        <f t="shared" si="1"/>
        <v>0</v>
      </c>
      <c r="H62" s="400">
        <f t="shared" si="2"/>
        <v>0</v>
      </c>
      <c r="J62" s="400">
        <f t="shared" si="0"/>
        <v>0</v>
      </c>
    </row>
    <row r="63" spans="1:10" ht="18" customHeight="1">
      <c r="A63" s="184"/>
      <c r="B63" s="94" t="s">
        <v>11</v>
      </c>
      <c r="C63" s="22" t="s">
        <v>12</v>
      </c>
      <c r="D63" s="24">
        <f>D61*(1/13)*1.57*(1440/50)</f>
        <v>0.19564615384615386</v>
      </c>
      <c r="E63" s="374">
        <v>11200</v>
      </c>
      <c r="F63" s="368">
        <f t="shared" si="1"/>
        <v>2191.2369230769232</v>
      </c>
      <c r="G63" s="400">
        <v>14000</v>
      </c>
      <c r="H63" s="400">
        <f t="shared" si="2"/>
        <v>2739.0461538461541</v>
      </c>
      <c r="I63" s="400">
        <v>13500</v>
      </c>
      <c r="J63" s="400">
        <f t="shared" si="0"/>
        <v>2641.2230769230773</v>
      </c>
    </row>
    <row r="64" spans="1:10" ht="18" customHeight="1">
      <c r="A64" s="184"/>
      <c r="B64" s="94" t="s">
        <v>13</v>
      </c>
      <c r="C64" s="22" t="s">
        <v>10</v>
      </c>
      <c r="D64" s="24">
        <f>D61*(4/13)*1.57</f>
        <v>2.7173076923076925E-2</v>
      </c>
      <c r="E64" s="374">
        <v>30500</v>
      </c>
      <c r="F64" s="368">
        <f t="shared" si="1"/>
        <v>828.77884615384619</v>
      </c>
      <c r="G64" s="400">
        <v>25000</v>
      </c>
      <c r="H64" s="400">
        <f t="shared" si="2"/>
        <v>679.32692307692309</v>
      </c>
      <c r="I64" s="400">
        <v>40000</v>
      </c>
      <c r="J64" s="400">
        <f t="shared" si="0"/>
        <v>1086.9230769230769</v>
      </c>
    </row>
    <row r="65" spans="1:10" ht="18" customHeight="1">
      <c r="A65" s="184"/>
      <c r="B65" s="94" t="s">
        <v>14</v>
      </c>
      <c r="C65" s="22" t="s">
        <v>10</v>
      </c>
      <c r="D65" s="24">
        <f>D61*(8/13)*1.57</f>
        <v>5.434615384615385E-2</v>
      </c>
      <c r="E65" s="374">
        <v>32300</v>
      </c>
      <c r="F65" s="368">
        <f t="shared" si="1"/>
        <v>1755.3807692307694</v>
      </c>
      <c r="G65" s="400">
        <v>27000</v>
      </c>
      <c r="H65" s="400">
        <f t="shared" si="2"/>
        <v>1467.346153846154</v>
      </c>
      <c r="I65" s="400">
        <v>48312</v>
      </c>
      <c r="J65" s="400">
        <f t="shared" si="0"/>
        <v>2625.5713846153849</v>
      </c>
    </row>
    <row r="66" spans="1:10" ht="18" customHeight="1">
      <c r="A66" s="184"/>
      <c r="B66" s="94" t="s">
        <v>15</v>
      </c>
      <c r="C66" s="22" t="s">
        <v>16</v>
      </c>
      <c r="D66" s="24">
        <f>D70*10</f>
        <v>9.375E-2</v>
      </c>
      <c r="E66" s="374">
        <v>2200</v>
      </c>
      <c r="F66" s="368">
        <f t="shared" si="1"/>
        <v>206.25</v>
      </c>
      <c r="G66" s="400">
        <v>2000</v>
      </c>
      <c r="H66" s="400">
        <f t="shared" si="2"/>
        <v>187.5</v>
      </c>
      <c r="I66" s="400">
        <v>2000</v>
      </c>
      <c r="J66" s="400">
        <f t="shared" si="0"/>
        <v>187.5</v>
      </c>
    </row>
    <row r="67" spans="1:10" ht="18" customHeight="1">
      <c r="A67" s="153"/>
      <c r="B67" s="93" t="s">
        <v>18</v>
      </c>
      <c r="C67" s="27"/>
      <c r="D67" s="32"/>
      <c r="E67" s="381"/>
      <c r="F67" s="368">
        <f t="shared" si="1"/>
        <v>0</v>
      </c>
      <c r="H67" s="400">
        <f t="shared" si="2"/>
        <v>0</v>
      </c>
      <c r="J67" s="400">
        <f t="shared" si="0"/>
        <v>0</v>
      </c>
    </row>
    <row r="68" spans="1:10" ht="18" customHeight="1">
      <c r="A68" s="184"/>
      <c r="B68" s="94"/>
      <c r="C68" s="22"/>
      <c r="D68" s="24"/>
      <c r="E68" s="374"/>
      <c r="F68" s="368">
        <f t="shared" si="1"/>
        <v>0</v>
      </c>
      <c r="H68" s="400">
        <f t="shared" si="2"/>
        <v>0</v>
      </c>
      <c r="J68" s="400">
        <f t="shared" si="0"/>
        <v>0</v>
      </c>
    </row>
    <row r="69" spans="1:10" ht="18" customHeight="1">
      <c r="A69" s="184"/>
      <c r="B69" s="93" t="s">
        <v>19</v>
      </c>
      <c r="C69" s="22"/>
      <c r="D69" s="24"/>
      <c r="E69" s="374"/>
      <c r="F69" s="368">
        <f t="shared" si="1"/>
        <v>0</v>
      </c>
      <c r="H69" s="400">
        <f t="shared" si="2"/>
        <v>0</v>
      </c>
      <c r="J69" s="400">
        <f t="shared" ref="J69:J132" si="3">D69*I69</f>
        <v>0</v>
      </c>
    </row>
    <row r="70" spans="1:10" ht="18" customHeight="1">
      <c r="A70" s="184"/>
      <c r="B70" s="94" t="s">
        <v>20</v>
      </c>
      <c r="C70" s="22" t="s">
        <v>21</v>
      </c>
      <c r="D70" s="24">
        <f>D61/6</f>
        <v>9.3749999999999997E-3</v>
      </c>
      <c r="E70" s="374">
        <v>5050</v>
      </c>
      <c r="F70" s="368">
        <f t="shared" si="1"/>
        <v>47.34375</v>
      </c>
      <c r="G70" s="400">
        <v>50000</v>
      </c>
      <c r="H70" s="400">
        <f t="shared" si="2"/>
        <v>468.75</v>
      </c>
      <c r="I70" s="400">
        <v>80000</v>
      </c>
      <c r="J70" s="400">
        <f t="shared" si="3"/>
        <v>750</v>
      </c>
    </row>
    <row r="71" spans="1:10" ht="18" customHeight="1">
      <c r="A71" s="153"/>
      <c r="B71" s="93" t="s">
        <v>23</v>
      </c>
      <c r="C71" s="27"/>
      <c r="D71" s="32"/>
      <c r="E71" s="381"/>
      <c r="F71" s="368">
        <f t="shared" si="1"/>
        <v>0</v>
      </c>
      <c r="H71" s="400">
        <f t="shared" si="2"/>
        <v>0</v>
      </c>
      <c r="J71" s="400">
        <f t="shared" si="3"/>
        <v>0</v>
      </c>
    </row>
    <row r="72" spans="1:10" ht="18" customHeight="1">
      <c r="A72" s="184"/>
      <c r="B72" s="94"/>
      <c r="C72" s="22"/>
      <c r="D72" s="24"/>
      <c r="E72" s="374"/>
      <c r="F72" s="368">
        <f t="shared" ref="F72:F135" si="4">D72*E72</f>
        <v>0</v>
      </c>
      <c r="H72" s="400">
        <f t="shared" ref="H72:H135" si="5">D72*G72</f>
        <v>0</v>
      </c>
      <c r="J72" s="400">
        <f t="shared" si="3"/>
        <v>0</v>
      </c>
    </row>
    <row r="73" spans="1:10" ht="18" customHeight="1">
      <c r="A73" s="184"/>
      <c r="B73" s="93" t="s">
        <v>6</v>
      </c>
      <c r="C73" s="22"/>
      <c r="D73" s="24"/>
      <c r="E73" s="374"/>
      <c r="F73" s="368">
        <f t="shared" si="4"/>
        <v>0</v>
      </c>
      <c r="H73" s="400">
        <f t="shared" si="5"/>
        <v>0</v>
      </c>
      <c r="J73" s="400">
        <f t="shared" si="3"/>
        <v>0</v>
      </c>
    </row>
    <row r="74" spans="1:10" ht="18" customHeight="1">
      <c r="A74" s="184"/>
      <c r="B74" s="94" t="s">
        <v>24</v>
      </c>
      <c r="C74" s="22" t="s">
        <v>21</v>
      </c>
      <c r="D74" s="24">
        <f>(D61/6)*2</f>
        <v>1.8749999999999999E-2</v>
      </c>
      <c r="E74" s="374">
        <v>1500</v>
      </c>
      <c r="F74" s="368">
        <f t="shared" si="4"/>
        <v>28.125</v>
      </c>
      <c r="G74" s="400">
        <v>10000</v>
      </c>
      <c r="H74" s="400">
        <f t="shared" si="5"/>
        <v>187.5</v>
      </c>
      <c r="I74" s="400">
        <v>80000</v>
      </c>
      <c r="J74" s="400">
        <f t="shared" si="3"/>
        <v>1500</v>
      </c>
    </row>
    <row r="75" spans="1:10" ht="18" customHeight="1">
      <c r="A75" s="184"/>
      <c r="B75" s="94" t="s">
        <v>25</v>
      </c>
      <c r="C75" s="22" t="s">
        <v>21</v>
      </c>
      <c r="D75" s="24">
        <f>(D61/6)*18</f>
        <v>0.16874999999999998</v>
      </c>
      <c r="E75" s="374">
        <v>780</v>
      </c>
      <c r="F75" s="368">
        <f t="shared" si="4"/>
        <v>131.625</v>
      </c>
      <c r="G75" s="400">
        <v>5000</v>
      </c>
      <c r="H75" s="400">
        <f t="shared" si="5"/>
        <v>843.74999999999989</v>
      </c>
      <c r="I75" s="400">
        <v>16000</v>
      </c>
      <c r="J75" s="400">
        <f t="shared" si="3"/>
        <v>2699.9999999999995</v>
      </c>
    </row>
    <row r="76" spans="1:10" ht="18" customHeight="1">
      <c r="A76" s="184"/>
      <c r="B76" s="94" t="s">
        <v>26</v>
      </c>
      <c r="C76" s="22" t="s">
        <v>21</v>
      </c>
      <c r="D76" s="24">
        <f>D70</f>
        <v>9.3749999999999997E-3</v>
      </c>
      <c r="E76" s="374">
        <v>830</v>
      </c>
      <c r="F76" s="368">
        <f t="shared" si="4"/>
        <v>7.78125</v>
      </c>
      <c r="G76" s="400">
        <v>20000</v>
      </c>
      <c r="H76" s="400">
        <f t="shared" si="5"/>
        <v>187.5</v>
      </c>
      <c r="I76" s="400">
        <v>49950</v>
      </c>
      <c r="J76" s="400">
        <f t="shared" si="3"/>
        <v>468.28125</v>
      </c>
    </row>
    <row r="77" spans="1:10" ht="18" customHeight="1">
      <c r="A77" s="153"/>
      <c r="B77" s="93" t="s">
        <v>27</v>
      </c>
      <c r="C77" s="27"/>
      <c r="D77" s="32"/>
      <c r="E77" s="381"/>
      <c r="F77" s="368">
        <f t="shared" si="4"/>
        <v>0</v>
      </c>
      <c r="H77" s="400">
        <f t="shared" si="5"/>
        <v>0</v>
      </c>
      <c r="J77" s="400">
        <f t="shared" si="3"/>
        <v>0</v>
      </c>
    </row>
    <row r="78" spans="1:10" ht="18" customHeight="1">
      <c r="A78" s="153"/>
      <c r="B78" s="93"/>
      <c r="C78" s="27"/>
      <c r="D78" s="32"/>
      <c r="E78" s="381"/>
      <c r="F78" s="368">
        <f t="shared" si="4"/>
        <v>0</v>
      </c>
      <c r="H78" s="400">
        <f t="shared" si="5"/>
        <v>0</v>
      </c>
      <c r="J78" s="400">
        <f t="shared" si="3"/>
        <v>0</v>
      </c>
    </row>
    <row r="79" spans="1:10" ht="18" customHeight="1">
      <c r="A79" s="153">
        <v>4</v>
      </c>
      <c r="B79" s="475" t="s">
        <v>82</v>
      </c>
      <c r="C79" s="475"/>
      <c r="D79" s="475"/>
      <c r="E79" s="376"/>
      <c r="F79" s="368">
        <f t="shared" si="4"/>
        <v>0</v>
      </c>
      <c r="H79" s="400">
        <f t="shared" si="5"/>
        <v>0</v>
      </c>
      <c r="J79" s="400">
        <f t="shared" si="3"/>
        <v>0</v>
      </c>
    </row>
    <row r="80" spans="1:10" ht="18" customHeight="1">
      <c r="A80" s="179">
        <v>4.01</v>
      </c>
      <c r="B80" s="95" t="s">
        <v>83</v>
      </c>
      <c r="C80" s="65" t="s">
        <v>50</v>
      </c>
      <c r="D80" s="201">
        <f>((0.75*0.2)*4)*2</f>
        <v>1.2000000000000002</v>
      </c>
      <c r="E80" s="375">
        <v>10724.305555555555</v>
      </c>
      <c r="F80" s="367">
        <f>SUBTOTAL(9,F81:F90)</f>
        <v>12869.166666666668</v>
      </c>
      <c r="G80" s="403"/>
      <c r="H80" s="367">
        <f>SUBTOTAL(9,H81:H90)</f>
        <v>21810.000000000004</v>
      </c>
      <c r="I80" s="403">
        <v>9023.6111111111095</v>
      </c>
      <c r="J80" s="403">
        <f t="shared" si="3"/>
        <v>10828.333333333332</v>
      </c>
    </row>
    <row r="81" spans="1:10" ht="18" customHeight="1">
      <c r="A81" s="184"/>
      <c r="B81" s="93" t="s">
        <v>2</v>
      </c>
      <c r="C81" s="22"/>
      <c r="D81" s="106"/>
      <c r="E81" s="374"/>
      <c r="F81" s="368">
        <f t="shared" si="4"/>
        <v>0</v>
      </c>
      <c r="H81" s="400">
        <f t="shared" si="5"/>
        <v>0</v>
      </c>
      <c r="J81" s="400">
        <f t="shared" si="3"/>
        <v>0</v>
      </c>
    </row>
    <row r="82" spans="1:10" ht="18" customHeight="1">
      <c r="A82" s="184"/>
      <c r="B82" s="94" t="s">
        <v>84</v>
      </c>
      <c r="C82" s="22" t="s">
        <v>85</v>
      </c>
      <c r="D82" s="24">
        <f>D80/(2.4*1.2)/2</f>
        <v>0.20833333333333337</v>
      </c>
      <c r="E82" s="374">
        <v>3500</v>
      </c>
      <c r="F82" s="368">
        <f t="shared" si="4"/>
        <v>729.16666666666674</v>
      </c>
      <c r="G82" s="400">
        <v>30000</v>
      </c>
      <c r="H82" s="400">
        <f t="shared" si="5"/>
        <v>6250.0000000000009</v>
      </c>
      <c r="I82" s="400">
        <v>25000</v>
      </c>
      <c r="J82" s="400">
        <f t="shared" si="3"/>
        <v>5208.3333333333339</v>
      </c>
    </row>
    <row r="83" spans="1:10" ht="18" customHeight="1">
      <c r="A83" s="184"/>
      <c r="B83" s="94" t="s">
        <v>86</v>
      </c>
      <c r="C83" s="22" t="s">
        <v>44</v>
      </c>
      <c r="D83" s="24">
        <f>D80*1.5</f>
        <v>1.8000000000000003</v>
      </c>
      <c r="E83" s="374">
        <v>5000</v>
      </c>
      <c r="F83" s="368">
        <f t="shared" si="4"/>
        <v>9000.0000000000018</v>
      </c>
      <c r="G83" s="400">
        <v>4000</v>
      </c>
      <c r="H83" s="400">
        <f t="shared" si="5"/>
        <v>7200.0000000000009</v>
      </c>
      <c r="I83" s="400">
        <v>1500</v>
      </c>
      <c r="J83" s="400">
        <f t="shared" si="3"/>
        <v>2700.0000000000005</v>
      </c>
    </row>
    <row r="84" spans="1:10" ht="18" customHeight="1">
      <c r="A84" s="180"/>
      <c r="B84" s="94" t="s">
        <v>87</v>
      </c>
      <c r="C84" s="22" t="s">
        <v>88</v>
      </c>
      <c r="D84" s="24">
        <f>D80*0.25</f>
        <v>0.30000000000000004</v>
      </c>
      <c r="E84" s="374">
        <v>2200</v>
      </c>
      <c r="F84" s="368">
        <f t="shared" si="4"/>
        <v>660.00000000000011</v>
      </c>
      <c r="G84" s="400">
        <v>22000</v>
      </c>
      <c r="H84" s="400">
        <f t="shared" si="5"/>
        <v>6600.0000000000009</v>
      </c>
      <c r="I84" s="400">
        <v>2000</v>
      </c>
      <c r="J84" s="400">
        <f t="shared" si="3"/>
        <v>600.00000000000011</v>
      </c>
    </row>
    <row r="85" spans="1:10" ht="18" customHeight="1">
      <c r="A85" s="180"/>
      <c r="B85" s="93" t="s">
        <v>89</v>
      </c>
      <c r="C85" s="27"/>
      <c r="D85" s="32"/>
      <c r="E85" s="381"/>
      <c r="F85" s="368">
        <f t="shared" si="4"/>
        <v>0</v>
      </c>
      <c r="H85" s="400">
        <f t="shared" si="5"/>
        <v>0</v>
      </c>
      <c r="J85" s="400">
        <f t="shared" si="3"/>
        <v>0</v>
      </c>
    </row>
    <row r="86" spans="1:10" ht="18" customHeight="1">
      <c r="A86" s="180"/>
      <c r="B86" s="94"/>
      <c r="C86" s="22"/>
      <c r="D86" s="24"/>
      <c r="E86" s="374"/>
      <c r="F86" s="368">
        <f t="shared" si="4"/>
        <v>0</v>
      </c>
      <c r="H86" s="400">
        <f t="shared" si="5"/>
        <v>0</v>
      </c>
      <c r="J86" s="400">
        <f t="shared" si="3"/>
        <v>0</v>
      </c>
    </row>
    <row r="87" spans="1:10" ht="18" customHeight="1">
      <c r="A87" s="181"/>
      <c r="B87" s="93" t="s">
        <v>6</v>
      </c>
      <c r="C87" s="22"/>
      <c r="D87" s="24"/>
      <c r="E87" s="374"/>
      <c r="F87" s="368">
        <f t="shared" si="4"/>
        <v>0</v>
      </c>
      <c r="H87" s="400">
        <f t="shared" si="5"/>
        <v>0</v>
      </c>
      <c r="J87" s="400">
        <f t="shared" si="3"/>
        <v>0</v>
      </c>
    </row>
    <row r="88" spans="1:10" ht="18" customHeight="1">
      <c r="A88" s="181"/>
      <c r="B88" s="94" t="s">
        <v>90</v>
      </c>
      <c r="C88" s="22" t="s">
        <v>21</v>
      </c>
      <c r="D88" s="24">
        <f>D80/15</f>
        <v>8.0000000000000016E-2</v>
      </c>
      <c r="E88" s="374">
        <v>15000</v>
      </c>
      <c r="F88" s="368">
        <f t="shared" si="4"/>
        <v>1200.0000000000002</v>
      </c>
      <c r="G88" s="400">
        <v>12000</v>
      </c>
      <c r="H88" s="400">
        <f t="shared" si="5"/>
        <v>960.00000000000023</v>
      </c>
      <c r="I88" s="400">
        <v>15000</v>
      </c>
      <c r="J88" s="400">
        <f t="shared" si="3"/>
        <v>1200.0000000000002</v>
      </c>
    </row>
    <row r="89" spans="1:10" ht="18" customHeight="1">
      <c r="A89" s="181"/>
      <c r="B89" s="94" t="s">
        <v>25</v>
      </c>
      <c r="C89" s="22" t="s">
        <v>21</v>
      </c>
      <c r="D89" s="24">
        <f>D88*2</f>
        <v>0.16000000000000003</v>
      </c>
      <c r="E89" s="374">
        <v>8000</v>
      </c>
      <c r="F89" s="368">
        <f t="shared" si="4"/>
        <v>1280.0000000000002</v>
      </c>
      <c r="G89" s="400">
        <v>5000</v>
      </c>
      <c r="H89" s="400">
        <f t="shared" si="5"/>
        <v>800.00000000000011</v>
      </c>
      <c r="I89" s="400">
        <v>7000</v>
      </c>
      <c r="J89" s="400">
        <f t="shared" si="3"/>
        <v>1120.0000000000002</v>
      </c>
    </row>
    <row r="90" spans="1:10" ht="18" customHeight="1">
      <c r="A90" s="184"/>
      <c r="B90" s="93" t="s">
        <v>91</v>
      </c>
      <c r="C90" s="27"/>
      <c r="D90" s="107"/>
      <c r="E90" s="381"/>
      <c r="F90" s="368">
        <f t="shared" si="4"/>
        <v>0</v>
      </c>
      <c r="H90" s="400">
        <f t="shared" si="5"/>
        <v>0</v>
      </c>
      <c r="J90" s="400">
        <f t="shared" si="3"/>
        <v>0</v>
      </c>
    </row>
    <row r="91" spans="1:10" ht="18" customHeight="1">
      <c r="A91" s="179">
        <v>4.0199999999999996</v>
      </c>
      <c r="B91" s="95" t="s">
        <v>118</v>
      </c>
      <c r="C91" s="65" t="s">
        <v>50</v>
      </c>
      <c r="D91" s="201">
        <f>((1.05*0.3)*4)*2</f>
        <v>2.52</v>
      </c>
      <c r="E91" s="375">
        <v>7817.3611111111113</v>
      </c>
      <c r="F91" s="367">
        <f>SUBTOTAL(9,F92:F101)</f>
        <v>19699.75</v>
      </c>
      <c r="G91" s="403"/>
      <c r="H91" s="367">
        <f>SUBTOTAL(9,H92:H101)</f>
        <v>33327</v>
      </c>
      <c r="I91" s="403">
        <v>9024</v>
      </c>
      <c r="J91" s="403">
        <f t="shared" si="3"/>
        <v>22740.48</v>
      </c>
    </row>
    <row r="92" spans="1:10" ht="18" customHeight="1">
      <c r="A92" s="184"/>
      <c r="B92" s="93" t="s">
        <v>2</v>
      </c>
      <c r="C92" s="22"/>
      <c r="D92" s="106"/>
      <c r="E92" s="374"/>
      <c r="F92" s="368">
        <f t="shared" si="4"/>
        <v>0</v>
      </c>
      <c r="H92" s="400">
        <f t="shared" si="5"/>
        <v>0</v>
      </c>
      <c r="J92" s="400">
        <f t="shared" si="3"/>
        <v>0</v>
      </c>
    </row>
    <row r="93" spans="1:10" ht="18" customHeight="1">
      <c r="A93" s="184"/>
      <c r="B93" s="94" t="s">
        <v>84</v>
      </c>
      <c r="C93" s="22" t="s">
        <v>85</v>
      </c>
      <c r="D93" s="24">
        <f>D91/(2.4*1.2)/2</f>
        <v>0.4375</v>
      </c>
      <c r="E93" s="374">
        <v>2500</v>
      </c>
      <c r="F93" s="368">
        <f t="shared" si="4"/>
        <v>1093.75</v>
      </c>
      <c r="G93" s="400">
        <v>30000</v>
      </c>
      <c r="H93" s="400">
        <f t="shared" si="5"/>
        <v>13125</v>
      </c>
      <c r="I93" s="400">
        <v>25000</v>
      </c>
      <c r="J93" s="400">
        <f t="shared" si="3"/>
        <v>10937.5</v>
      </c>
    </row>
    <row r="94" spans="1:10" ht="18" customHeight="1">
      <c r="A94" s="184"/>
      <c r="B94" s="94" t="s">
        <v>86</v>
      </c>
      <c r="C94" s="22" t="s">
        <v>44</v>
      </c>
      <c r="D94" s="24">
        <f>D91*1.5</f>
        <v>3.7800000000000002</v>
      </c>
      <c r="E94" s="374">
        <v>3000</v>
      </c>
      <c r="F94" s="368">
        <f t="shared" si="4"/>
        <v>11340</v>
      </c>
      <c r="G94" s="400">
        <v>4000</v>
      </c>
      <c r="H94" s="400">
        <f t="shared" si="5"/>
        <v>15120.000000000002</v>
      </c>
      <c r="I94" s="400">
        <v>1500</v>
      </c>
      <c r="J94" s="400">
        <f t="shared" si="3"/>
        <v>5670</v>
      </c>
    </row>
    <row r="95" spans="1:10" ht="18" customHeight="1">
      <c r="A95" s="180"/>
      <c r="B95" s="94" t="s">
        <v>87</v>
      </c>
      <c r="C95" s="22" t="s">
        <v>88</v>
      </c>
      <c r="D95" s="24">
        <f>D91*0.25</f>
        <v>0.63</v>
      </c>
      <c r="E95" s="374">
        <v>2200</v>
      </c>
      <c r="F95" s="368">
        <f t="shared" si="4"/>
        <v>1386</v>
      </c>
      <c r="G95" s="400">
        <v>2200</v>
      </c>
      <c r="H95" s="400">
        <f t="shared" si="5"/>
        <v>1386</v>
      </c>
      <c r="I95" s="400">
        <v>2000</v>
      </c>
      <c r="J95" s="400">
        <f t="shared" si="3"/>
        <v>1260</v>
      </c>
    </row>
    <row r="96" spans="1:10" ht="18" customHeight="1">
      <c r="A96" s="180"/>
      <c r="B96" s="93" t="s">
        <v>89</v>
      </c>
      <c r="C96" s="27"/>
      <c r="D96" s="32"/>
      <c r="E96" s="381"/>
      <c r="F96" s="368">
        <f t="shared" si="4"/>
        <v>0</v>
      </c>
      <c r="H96" s="400">
        <f t="shared" si="5"/>
        <v>0</v>
      </c>
      <c r="J96" s="400">
        <f t="shared" si="3"/>
        <v>0</v>
      </c>
    </row>
    <row r="97" spans="1:10" ht="18" customHeight="1">
      <c r="A97" s="180"/>
      <c r="B97" s="94"/>
      <c r="C97" s="22"/>
      <c r="D97" s="24"/>
      <c r="E97" s="374"/>
      <c r="F97" s="368">
        <f t="shared" si="4"/>
        <v>0</v>
      </c>
      <c r="H97" s="400">
        <f t="shared" si="5"/>
        <v>0</v>
      </c>
      <c r="J97" s="400">
        <f t="shared" si="3"/>
        <v>0</v>
      </c>
    </row>
    <row r="98" spans="1:10" ht="18" customHeight="1">
      <c r="A98" s="181"/>
      <c r="B98" s="93" t="s">
        <v>6</v>
      </c>
      <c r="C98" s="22"/>
      <c r="D98" s="24"/>
      <c r="E98" s="374"/>
      <c r="F98" s="368">
        <f t="shared" si="4"/>
        <v>0</v>
      </c>
      <c r="H98" s="400">
        <f t="shared" si="5"/>
        <v>0</v>
      </c>
      <c r="J98" s="400">
        <f t="shared" si="3"/>
        <v>0</v>
      </c>
    </row>
    <row r="99" spans="1:10" ht="18" customHeight="1">
      <c r="A99" s="181"/>
      <c r="B99" s="94" t="s">
        <v>90</v>
      </c>
      <c r="C99" s="22" t="s">
        <v>21</v>
      </c>
      <c r="D99" s="24">
        <f>D91/15</f>
        <v>0.16800000000000001</v>
      </c>
      <c r="E99" s="374">
        <v>15000</v>
      </c>
      <c r="F99" s="368">
        <f t="shared" si="4"/>
        <v>2520</v>
      </c>
      <c r="G99" s="400">
        <v>12000</v>
      </c>
      <c r="H99" s="400">
        <f t="shared" si="5"/>
        <v>2016.0000000000002</v>
      </c>
      <c r="I99" s="400">
        <v>15000</v>
      </c>
      <c r="J99" s="400">
        <f t="shared" si="3"/>
        <v>2520</v>
      </c>
    </row>
    <row r="100" spans="1:10" ht="18" customHeight="1">
      <c r="A100" s="181"/>
      <c r="B100" s="94" t="s">
        <v>25</v>
      </c>
      <c r="C100" s="22" t="s">
        <v>21</v>
      </c>
      <c r="D100" s="24">
        <f>D99*2</f>
        <v>0.33600000000000002</v>
      </c>
      <c r="E100" s="374">
        <v>10000</v>
      </c>
      <c r="F100" s="368">
        <f t="shared" si="4"/>
        <v>3360</v>
      </c>
      <c r="G100" s="400">
        <v>5000</v>
      </c>
      <c r="H100" s="400">
        <f t="shared" si="5"/>
        <v>1680</v>
      </c>
      <c r="I100" s="400">
        <v>7000</v>
      </c>
      <c r="J100" s="400">
        <f t="shared" si="3"/>
        <v>2352</v>
      </c>
    </row>
    <row r="101" spans="1:10" ht="18" customHeight="1">
      <c r="A101" s="184"/>
      <c r="B101" s="93" t="s">
        <v>91</v>
      </c>
      <c r="C101" s="27"/>
      <c r="D101" s="107"/>
      <c r="E101" s="381"/>
      <c r="F101" s="368">
        <f t="shared" si="4"/>
        <v>0</v>
      </c>
      <c r="H101" s="400">
        <f t="shared" si="5"/>
        <v>0</v>
      </c>
      <c r="J101" s="400">
        <f t="shared" si="3"/>
        <v>0</v>
      </c>
    </row>
    <row r="102" spans="1:10" ht="18" customHeight="1">
      <c r="A102" s="179">
        <v>4.03</v>
      </c>
      <c r="B102" s="95" t="s">
        <v>95</v>
      </c>
      <c r="C102" s="65" t="s">
        <v>36</v>
      </c>
      <c r="D102" s="201">
        <f>((3.1*0.3)*4)*2</f>
        <v>7.4399999999999995</v>
      </c>
      <c r="E102" s="375">
        <v>11164.583333333334</v>
      </c>
      <c r="F102" s="367">
        <f>SUBTOTAL(9,F103:F113)</f>
        <v>83064.5</v>
      </c>
      <c r="G102" s="403"/>
      <c r="H102" s="367">
        <f>SUBTOTAL(9,H103:H113)</f>
        <v>98394</v>
      </c>
      <c r="I102" s="403">
        <v>9023.6111111111113</v>
      </c>
      <c r="J102" s="403">
        <f t="shared" si="3"/>
        <v>67135.666666666657</v>
      </c>
    </row>
    <row r="103" spans="1:10" ht="18" customHeight="1">
      <c r="A103" s="184"/>
      <c r="B103" s="93" t="s">
        <v>2</v>
      </c>
      <c r="C103" s="22"/>
      <c r="D103" s="106"/>
      <c r="E103" s="374"/>
      <c r="F103" s="368">
        <f t="shared" si="4"/>
        <v>0</v>
      </c>
      <c r="H103" s="400">
        <f t="shared" si="5"/>
        <v>0</v>
      </c>
      <c r="J103" s="400">
        <f t="shared" si="3"/>
        <v>0</v>
      </c>
    </row>
    <row r="104" spans="1:10" ht="18" customHeight="1">
      <c r="A104" s="184"/>
      <c r="B104" s="94" t="s">
        <v>84</v>
      </c>
      <c r="C104" s="22" t="s">
        <v>85</v>
      </c>
      <c r="D104" s="24">
        <f>D102/(2.4*1.2)/2</f>
        <v>1.2916666666666665</v>
      </c>
      <c r="E104" s="374">
        <v>4500</v>
      </c>
      <c r="F104" s="368">
        <f t="shared" si="4"/>
        <v>5812.4999999999991</v>
      </c>
      <c r="G104" s="400">
        <v>30000</v>
      </c>
      <c r="H104" s="400">
        <f t="shared" si="5"/>
        <v>38749.999999999993</v>
      </c>
      <c r="I104" s="400">
        <v>25000</v>
      </c>
      <c r="J104" s="400">
        <f t="shared" si="3"/>
        <v>32291.666666666664</v>
      </c>
    </row>
    <row r="105" spans="1:10" ht="18" customHeight="1">
      <c r="A105" s="184"/>
      <c r="B105" s="94" t="s">
        <v>86</v>
      </c>
      <c r="C105" s="22" t="s">
        <v>44</v>
      </c>
      <c r="D105" s="24">
        <f>D102*1.5</f>
        <v>11.16</v>
      </c>
      <c r="E105" s="374">
        <v>5000</v>
      </c>
      <c r="F105" s="368">
        <f t="shared" si="4"/>
        <v>55800</v>
      </c>
      <c r="G105" s="400">
        <v>4000</v>
      </c>
      <c r="H105" s="400">
        <f t="shared" si="5"/>
        <v>44640</v>
      </c>
      <c r="I105" s="400">
        <v>1500</v>
      </c>
      <c r="J105" s="400">
        <f t="shared" si="3"/>
        <v>16740</v>
      </c>
    </row>
    <row r="106" spans="1:10" ht="18" customHeight="1">
      <c r="A106" s="180"/>
      <c r="B106" s="94" t="s">
        <v>87</v>
      </c>
      <c r="C106" s="22" t="s">
        <v>88</v>
      </c>
      <c r="D106" s="24">
        <f>D102*0.25</f>
        <v>1.8599999999999999</v>
      </c>
      <c r="E106" s="374">
        <v>2200</v>
      </c>
      <c r="F106" s="368">
        <f t="shared" si="4"/>
        <v>4091.9999999999995</v>
      </c>
      <c r="G106" s="400">
        <v>2200</v>
      </c>
      <c r="H106" s="400">
        <f t="shared" si="5"/>
        <v>4091.9999999999995</v>
      </c>
      <c r="I106" s="400">
        <v>2000</v>
      </c>
      <c r="J106" s="400">
        <f t="shared" si="3"/>
        <v>3719.9999999999995</v>
      </c>
    </row>
    <row r="107" spans="1:10" ht="18" customHeight="1">
      <c r="A107" s="180"/>
      <c r="B107" s="93" t="s">
        <v>89</v>
      </c>
      <c r="C107" s="27"/>
      <c r="D107" s="32"/>
      <c r="E107" s="381"/>
      <c r="F107" s="368">
        <f t="shared" si="4"/>
        <v>0</v>
      </c>
      <c r="H107" s="400">
        <f t="shared" si="5"/>
        <v>0</v>
      </c>
      <c r="J107" s="400">
        <f t="shared" si="3"/>
        <v>0</v>
      </c>
    </row>
    <row r="108" spans="1:10" ht="18" customHeight="1">
      <c r="A108" s="180"/>
      <c r="B108" s="94"/>
      <c r="C108" s="22"/>
      <c r="D108" s="24"/>
      <c r="E108" s="374"/>
      <c r="F108" s="368">
        <f t="shared" si="4"/>
        <v>0</v>
      </c>
      <c r="H108" s="400">
        <f t="shared" si="5"/>
        <v>0</v>
      </c>
      <c r="J108" s="400">
        <f t="shared" si="3"/>
        <v>0</v>
      </c>
    </row>
    <row r="109" spans="1:10" ht="18" customHeight="1">
      <c r="A109" s="181"/>
      <c r="B109" s="93" t="s">
        <v>6</v>
      </c>
      <c r="C109" s="22"/>
      <c r="D109" s="24"/>
      <c r="E109" s="374"/>
      <c r="F109" s="368">
        <f t="shared" si="4"/>
        <v>0</v>
      </c>
      <c r="H109" s="400">
        <f t="shared" si="5"/>
        <v>0</v>
      </c>
      <c r="J109" s="400">
        <f t="shared" si="3"/>
        <v>0</v>
      </c>
    </row>
    <row r="110" spans="1:10" ht="18" customHeight="1">
      <c r="A110" s="181"/>
      <c r="B110" s="94" t="s">
        <v>90</v>
      </c>
      <c r="C110" s="22" t="s">
        <v>21</v>
      </c>
      <c r="D110" s="24">
        <f>D102/15</f>
        <v>0.49599999999999994</v>
      </c>
      <c r="E110" s="374">
        <v>15000</v>
      </c>
      <c r="F110" s="368">
        <f t="shared" si="4"/>
        <v>7439.9999999999991</v>
      </c>
      <c r="G110" s="400">
        <v>12000</v>
      </c>
      <c r="H110" s="400">
        <f t="shared" si="5"/>
        <v>5951.9999999999991</v>
      </c>
      <c r="I110" s="400">
        <v>15000</v>
      </c>
      <c r="J110" s="400">
        <f t="shared" si="3"/>
        <v>7439.9999999999991</v>
      </c>
    </row>
    <row r="111" spans="1:10" ht="18" customHeight="1">
      <c r="A111" s="181"/>
      <c r="B111" s="94" t="s">
        <v>25</v>
      </c>
      <c r="C111" s="22" t="s">
        <v>21</v>
      </c>
      <c r="D111" s="24">
        <f>D110*2</f>
        <v>0.99199999999999988</v>
      </c>
      <c r="E111" s="374">
        <v>10000</v>
      </c>
      <c r="F111" s="368">
        <f t="shared" si="4"/>
        <v>9919.9999999999982</v>
      </c>
      <c r="G111" s="400">
        <v>5000</v>
      </c>
      <c r="H111" s="400">
        <f t="shared" si="5"/>
        <v>4959.9999999999991</v>
      </c>
      <c r="I111" s="400">
        <v>7000</v>
      </c>
      <c r="J111" s="400">
        <f t="shared" si="3"/>
        <v>6943.9999999999991</v>
      </c>
    </row>
    <row r="112" spans="1:10" ht="18" customHeight="1">
      <c r="A112" s="184"/>
      <c r="B112" s="10" t="s">
        <v>9</v>
      </c>
      <c r="C112" s="27"/>
      <c r="D112" s="107"/>
      <c r="E112" s="381"/>
      <c r="F112" s="368">
        <f t="shared" si="4"/>
        <v>0</v>
      </c>
      <c r="H112" s="400">
        <f t="shared" si="5"/>
        <v>0</v>
      </c>
      <c r="J112" s="400">
        <f t="shared" si="3"/>
        <v>0</v>
      </c>
    </row>
    <row r="113" spans="1:10" ht="18" customHeight="1">
      <c r="A113" s="184"/>
      <c r="B113" s="10"/>
      <c r="C113" s="27"/>
      <c r="D113" s="107"/>
      <c r="E113" s="381"/>
      <c r="F113" s="368">
        <f t="shared" si="4"/>
        <v>0</v>
      </c>
      <c r="H113" s="400">
        <f t="shared" si="5"/>
        <v>0</v>
      </c>
      <c r="J113" s="400">
        <f t="shared" si="3"/>
        <v>0</v>
      </c>
    </row>
    <row r="114" spans="1:10" ht="18" customHeight="1">
      <c r="A114" s="185">
        <v>5</v>
      </c>
      <c r="B114" s="96" t="s">
        <v>105</v>
      </c>
      <c r="C114" s="65" t="s">
        <v>88</v>
      </c>
      <c r="D114" s="201">
        <v>72.268000000000001</v>
      </c>
      <c r="E114" s="375">
        <v>6375.8333333333339</v>
      </c>
      <c r="F114" s="367">
        <f>SUBTOTAL(9,F115:F125)</f>
        <v>460768.72333333339</v>
      </c>
      <c r="G114" s="403"/>
      <c r="H114" s="367">
        <f>SUBTOTAL(9,H115:H125)</f>
        <v>397574.37222222227</v>
      </c>
      <c r="I114" s="403">
        <v>3141.1105576157884</v>
      </c>
      <c r="J114" s="403">
        <f t="shared" si="3"/>
        <v>227001.77777777781</v>
      </c>
    </row>
    <row r="115" spans="1:10" ht="18" customHeight="1">
      <c r="A115" s="184"/>
      <c r="B115" s="93" t="s">
        <v>2</v>
      </c>
      <c r="C115" s="22"/>
      <c r="D115" s="106"/>
      <c r="E115" s="374"/>
      <c r="F115" s="368">
        <f t="shared" si="4"/>
        <v>0</v>
      </c>
      <c r="H115" s="400">
        <f t="shared" si="5"/>
        <v>0</v>
      </c>
      <c r="J115" s="400">
        <f t="shared" si="3"/>
        <v>0</v>
      </c>
    </row>
    <row r="116" spans="1:10" ht="18" customHeight="1">
      <c r="A116" s="184"/>
      <c r="B116" s="94" t="s">
        <v>106</v>
      </c>
      <c r="C116" s="22" t="s">
        <v>88</v>
      </c>
      <c r="D116" s="24">
        <f>D114*1.1</f>
        <v>79.494800000000012</v>
      </c>
      <c r="E116" s="374">
        <v>5050</v>
      </c>
      <c r="F116" s="368">
        <f t="shared" si="4"/>
        <v>401448.74000000005</v>
      </c>
      <c r="G116" s="400">
        <v>4500</v>
      </c>
      <c r="H116" s="400">
        <f t="shared" si="5"/>
        <v>357726.60000000003</v>
      </c>
      <c r="I116" s="400">
        <v>1800</v>
      </c>
      <c r="J116" s="400">
        <f>D116*I116</f>
        <v>143090.64000000001</v>
      </c>
    </row>
    <row r="117" spans="1:10" ht="18" customHeight="1">
      <c r="A117" s="184"/>
      <c r="B117" s="94" t="s">
        <v>107</v>
      </c>
      <c r="C117" s="22" t="s">
        <v>88</v>
      </c>
      <c r="D117" s="24">
        <f>D114*2.5%</f>
        <v>1.8067000000000002</v>
      </c>
      <c r="E117" s="374">
        <v>3500</v>
      </c>
      <c r="F117" s="368">
        <f t="shared" si="4"/>
        <v>6323.4500000000007</v>
      </c>
      <c r="G117" s="400">
        <v>2500</v>
      </c>
      <c r="H117" s="400">
        <f t="shared" si="5"/>
        <v>4516.7500000000009</v>
      </c>
      <c r="I117" s="400">
        <v>2000</v>
      </c>
      <c r="J117" s="400">
        <f t="shared" si="3"/>
        <v>3613.4000000000005</v>
      </c>
    </row>
    <row r="118" spans="1:10" ht="18" customHeight="1">
      <c r="A118" s="184"/>
      <c r="B118" s="94"/>
      <c r="C118" s="22"/>
      <c r="D118" s="24"/>
      <c r="E118" s="374"/>
      <c r="F118" s="368">
        <f t="shared" si="4"/>
        <v>0</v>
      </c>
      <c r="H118" s="400">
        <f t="shared" si="5"/>
        <v>0</v>
      </c>
      <c r="J118" s="400">
        <f t="shared" si="3"/>
        <v>0</v>
      </c>
    </row>
    <row r="119" spans="1:10" ht="18" customHeight="1">
      <c r="A119" s="153"/>
      <c r="B119" s="93" t="s">
        <v>108</v>
      </c>
      <c r="C119" s="27"/>
      <c r="D119" s="32"/>
      <c r="E119" s="381"/>
      <c r="F119" s="368">
        <f t="shared" si="4"/>
        <v>0</v>
      </c>
      <c r="H119" s="400">
        <f t="shared" si="5"/>
        <v>0</v>
      </c>
      <c r="J119" s="400">
        <f t="shared" si="3"/>
        <v>0</v>
      </c>
    </row>
    <row r="120" spans="1:10" ht="18" customHeight="1">
      <c r="A120" s="184"/>
      <c r="B120" s="94"/>
      <c r="C120" s="22"/>
      <c r="D120" s="24"/>
      <c r="E120" s="374"/>
      <c r="F120" s="368">
        <f t="shared" si="4"/>
        <v>0</v>
      </c>
      <c r="H120" s="400">
        <f t="shared" si="5"/>
        <v>0</v>
      </c>
      <c r="J120" s="400">
        <f t="shared" si="3"/>
        <v>0</v>
      </c>
    </row>
    <row r="121" spans="1:10" ht="18" customHeight="1">
      <c r="A121" s="184"/>
      <c r="B121" s="93" t="s">
        <v>6</v>
      </c>
      <c r="C121" s="22"/>
      <c r="D121" s="24"/>
      <c r="E121" s="374"/>
      <c r="F121" s="368">
        <f t="shared" si="4"/>
        <v>0</v>
      </c>
      <c r="H121" s="400">
        <f t="shared" si="5"/>
        <v>0</v>
      </c>
      <c r="J121" s="400">
        <f t="shared" si="3"/>
        <v>0</v>
      </c>
    </row>
    <row r="122" spans="1:10" ht="18" customHeight="1">
      <c r="A122" s="184"/>
      <c r="B122" s="94" t="s">
        <v>109</v>
      </c>
      <c r="C122" s="22" t="s">
        <v>8</v>
      </c>
      <c r="D122" s="24">
        <f>D114/45</f>
        <v>1.6059555555555556</v>
      </c>
      <c r="E122" s="374">
        <v>17000</v>
      </c>
      <c r="F122" s="368">
        <f t="shared" si="4"/>
        <v>27301.244444444445</v>
      </c>
      <c r="G122" s="400">
        <v>12000</v>
      </c>
      <c r="H122" s="400">
        <f t="shared" si="5"/>
        <v>19271.466666666667</v>
      </c>
      <c r="I122" s="400">
        <v>36000</v>
      </c>
      <c r="J122" s="400">
        <f t="shared" si="3"/>
        <v>57814.400000000001</v>
      </c>
    </row>
    <row r="123" spans="1:10" ht="18" customHeight="1">
      <c r="A123" s="184"/>
      <c r="B123" s="94" t="s">
        <v>110</v>
      </c>
      <c r="C123" s="22" t="s">
        <v>8</v>
      </c>
      <c r="D123" s="24">
        <f>D122*2</f>
        <v>3.2119111111111112</v>
      </c>
      <c r="E123" s="374">
        <v>8000</v>
      </c>
      <c r="F123" s="368">
        <f t="shared" si="4"/>
        <v>25695.288888888888</v>
      </c>
      <c r="G123" s="400">
        <v>5000</v>
      </c>
      <c r="H123" s="400">
        <f t="shared" si="5"/>
        <v>16059.555555555557</v>
      </c>
      <c r="I123" s="400">
        <v>7000</v>
      </c>
      <c r="J123" s="400">
        <f t="shared" si="3"/>
        <v>22483.37777777778</v>
      </c>
    </row>
    <row r="124" spans="1:10" ht="18" customHeight="1">
      <c r="A124" s="153"/>
      <c r="B124" s="93" t="s">
        <v>111</v>
      </c>
      <c r="C124" s="27"/>
      <c r="D124" s="107"/>
      <c r="E124" s="381"/>
      <c r="F124" s="368">
        <f t="shared" si="4"/>
        <v>0</v>
      </c>
      <c r="H124" s="400">
        <f t="shared" si="5"/>
        <v>0</v>
      </c>
      <c r="J124" s="400">
        <f t="shared" si="3"/>
        <v>0</v>
      </c>
    </row>
    <row r="125" spans="1:10" ht="18" customHeight="1">
      <c r="A125" s="153"/>
      <c r="B125" s="93"/>
      <c r="C125" s="27"/>
      <c r="D125" s="107"/>
      <c r="E125" s="381"/>
      <c r="F125" s="368">
        <f t="shared" si="4"/>
        <v>0</v>
      </c>
      <c r="H125" s="400">
        <f t="shared" si="5"/>
        <v>0</v>
      </c>
      <c r="J125" s="400">
        <f t="shared" si="3"/>
        <v>0</v>
      </c>
    </row>
    <row r="126" spans="1:10" ht="18" customHeight="1">
      <c r="A126" s="155">
        <v>6</v>
      </c>
      <c r="B126" s="476" t="s">
        <v>101</v>
      </c>
      <c r="C126" s="476"/>
      <c r="D126" s="476"/>
      <c r="E126" s="376"/>
      <c r="F126" s="368">
        <f t="shared" si="4"/>
        <v>0</v>
      </c>
      <c r="H126" s="400">
        <f t="shared" si="5"/>
        <v>0</v>
      </c>
      <c r="J126" s="400">
        <f t="shared" si="3"/>
        <v>0</v>
      </c>
    </row>
    <row r="127" spans="1:10" ht="18" customHeight="1">
      <c r="A127" s="179">
        <v>6.01</v>
      </c>
      <c r="B127" s="95" t="s">
        <v>102</v>
      </c>
      <c r="C127" s="65" t="s">
        <v>10</v>
      </c>
      <c r="D127" s="201">
        <f>(0.7*0.7*0.15)*2</f>
        <v>0.14699999999999996</v>
      </c>
      <c r="E127" s="375">
        <v>218000.00000000003</v>
      </c>
      <c r="F127" s="367">
        <f>SUBTOTAL(9,F128:F137)</f>
        <v>32045.999999999996</v>
      </c>
      <c r="G127" s="403"/>
      <c r="H127" s="367">
        <f>SUBTOTAL(9,H128:H137)</f>
        <v>58309.999999999993</v>
      </c>
      <c r="I127" s="403">
        <v>318000</v>
      </c>
      <c r="J127" s="403">
        <f t="shared" si="3"/>
        <v>46745.999999999985</v>
      </c>
    </row>
    <row r="128" spans="1:10" ht="18" customHeight="1">
      <c r="A128" s="186"/>
      <c r="B128" s="97" t="s">
        <v>2</v>
      </c>
      <c r="C128" s="53"/>
      <c r="D128" s="197"/>
      <c r="E128" s="377"/>
      <c r="F128" s="368">
        <f t="shared" si="4"/>
        <v>0</v>
      </c>
      <c r="H128" s="400">
        <f t="shared" si="5"/>
        <v>0</v>
      </c>
      <c r="J128" s="400">
        <f t="shared" si="3"/>
        <v>0</v>
      </c>
    </row>
    <row r="129" spans="1:10" ht="18" customHeight="1">
      <c r="A129" s="186"/>
      <c r="B129" s="98" t="s">
        <v>99</v>
      </c>
      <c r="C129" s="53" t="s">
        <v>28</v>
      </c>
      <c r="D129" s="204">
        <f>D127*1.1</f>
        <v>0.16169999999999998</v>
      </c>
      <c r="E129" s="377">
        <v>180000</v>
      </c>
      <c r="F129" s="368">
        <f t="shared" si="4"/>
        <v>29105.999999999996</v>
      </c>
      <c r="G129" s="400">
        <v>350000</v>
      </c>
      <c r="H129" s="400">
        <f t="shared" si="5"/>
        <v>56594.999999999993</v>
      </c>
      <c r="I129" s="400">
        <v>280000</v>
      </c>
      <c r="J129" s="400">
        <f t="shared" si="3"/>
        <v>45275.999999999993</v>
      </c>
    </row>
    <row r="130" spans="1:10" ht="18" customHeight="1">
      <c r="A130" s="187"/>
      <c r="B130" s="97" t="s">
        <v>100</v>
      </c>
      <c r="C130" s="54"/>
      <c r="D130" s="198"/>
      <c r="E130" s="384"/>
      <c r="F130" s="368">
        <f t="shared" si="4"/>
        <v>0</v>
      </c>
      <c r="H130" s="400">
        <f t="shared" si="5"/>
        <v>0</v>
      </c>
      <c r="J130" s="400">
        <f t="shared" si="3"/>
        <v>0</v>
      </c>
    </row>
    <row r="131" spans="1:10" ht="18" customHeight="1">
      <c r="A131" s="187"/>
      <c r="B131" s="97"/>
      <c r="C131" s="54"/>
      <c r="D131" s="198"/>
      <c r="E131" s="384"/>
      <c r="F131" s="368">
        <f t="shared" si="4"/>
        <v>0</v>
      </c>
      <c r="H131" s="400">
        <f t="shared" si="5"/>
        <v>0</v>
      </c>
      <c r="J131" s="400">
        <f t="shared" si="3"/>
        <v>0</v>
      </c>
    </row>
    <row r="132" spans="1:10" ht="18" customHeight="1">
      <c r="A132" s="184"/>
      <c r="B132" s="93" t="s">
        <v>19</v>
      </c>
      <c r="C132" s="22"/>
      <c r="D132" s="24"/>
      <c r="E132" s="374"/>
      <c r="F132" s="368">
        <f t="shared" si="4"/>
        <v>0</v>
      </c>
      <c r="H132" s="400">
        <f t="shared" si="5"/>
        <v>0</v>
      </c>
      <c r="J132" s="400">
        <f t="shared" si="3"/>
        <v>0</v>
      </c>
    </row>
    <row r="133" spans="1:10" ht="18" customHeight="1">
      <c r="A133" s="184"/>
      <c r="B133" s="94" t="s">
        <v>22</v>
      </c>
      <c r="C133" s="22" t="s">
        <v>21</v>
      </c>
      <c r="D133" s="24">
        <f>D127/6</f>
        <v>2.4499999999999994E-2</v>
      </c>
      <c r="E133" s="374">
        <v>65000</v>
      </c>
      <c r="F133" s="368">
        <f t="shared" si="4"/>
        <v>1592.4999999999995</v>
      </c>
      <c r="G133" s="400">
        <v>50000</v>
      </c>
      <c r="H133" s="400">
        <f t="shared" si="5"/>
        <v>1224.9999999999998</v>
      </c>
      <c r="I133" s="400">
        <v>40000</v>
      </c>
      <c r="J133" s="400">
        <f t="shared" ref="J133:J196" si="6">D133*I133</f>
        <v>979.99999999999977</v>
      </c>
    </row>
    <row r="134" spans="1:10" ht="18" customHeight="1">
      <c r="A134" s="153"/>
      <c r="B134" s="93" t="s">
        <v>112</v>
      </c>
      <c r="C134" s="27"/>
      <c r="D134" s="32"/>
      <c r="E134" s="381"/>
      <c r="F134" s="368">
        <f t="shared" si="4"/>
        <v>0</v>
      </c>
      <c r="H134" s="400">
        <f t="shared" si="5"/>
        <v>0</v>
      </c>
      <c r="J134" s="400">
        <f t="shared" si="6"/>
        <v>0</v>
      </c>
    </row>
    <row r="135" spans="1:10" ht="18" customHeight="1">
      <c r="A135" s="153"/>
      <c r="B135" s="93"/>
      <c r="C135" s="27"/>
      <c r="D135" s="32"/>
      <c r="E135" s="381"/>
      <c r="F135" s="368">
        <f t="shared" si="4"/>
        <v>0</v>
      </c>
      <c r="H135" s="400">
        <f t="shared" si="5"/>
        <v>0</v>
      </c>
      <c r="J135" s="400">
        <f t="shared" si="6"/>
        <v>0</v>
      </c>
    </row>
    <row r="136" spans="1:10" ht="18" customHeight="1">
      <c r="A136" s="186"/>
      <c r="B136" s="98" t="s">
        <v>26</v>
      </c>
      <c r="C136" s="53" t="s">
        <v>21</v>
      </c>
      <c r="D136" s="204">
        <f>D133</f>
        <v>2.4499999999999994E-2</v>
      </c>
      <c r="E136" s="377">
        <v>55000</v>
      </c>
      <c r="F136" s="368">
        <f t="shared" ref="F136:F199" si="7">D136*E136</f>
        <v>1347.4999999999998</v>
      </c>
      <c r="G136" s="400">
        <v>20000</v>
      </c>
      <c r="H136" s="400">
        <f t="shared" ref="H136:H199" si="8">D136*G136</f>
        <v>489.99999999999989</v>
      </c>
      <c r="I136" s="400">
        <v>20000</v>
      </c>
      <c r="J136" s="400">
        <f t="shared" si="6"/>
        <v>489.99999999999989</v>
      </c>
    </row>
    <row r="137" spans="1:10" ht="18" customHeight="1">
      <c r="A137" s="187"/>
      <c r="B137" s="97" t="s">
        <v>113</v>
      </c>
      <c r="C137" s="54"/>
      <c r="D137" s="198"/>
      <c r="E137" s="384"/>
      <c r="F137" s="368">
        <f t="shared" si="7"/>
        <v>0</v>
      </c>
      <c r="H137" s="400">
        <f t="shared" si="8"/>
        <v>0</v>
      </c>
      <c r="J137" s="400">
        <f t="shared" si="6"/>
        <v>0</v>
      </c>
    </row>
    <row r="138" spans="1:10" ht="18" customHeight="1">
      <c r="A138" s="179">
        <v>6.02</v>
      </c>
      <c r="B138" s="95" t="s">
        <v>103</v>
      </c>
      <c r="C138" s="65" t="s">
        <v>10</v>
      </c>
      <c r="D138" s="201">
        <f>(1*0.25*0.25)*2</f>
        <v>0.125</v>
      </c>
      <c r="E138" s="375">
        <v>223920.00000000003</v>
      </c>
      <c r="F138" s="367">
        <f>SUBTOTAL(9,F139:F148)</f>
        <v>27990.000000000004</v>
      </c>
      <c r="G138" s="403"/>
      <c r="H138" s="367">
        <f>SUBTOTAL(9,H139:H148)</f>
        <v>48410.833333333336</v>
      </c>
      <c r="I138" s="403">
        <v>309960</v>
      </c>
      <c r="J138" s="403">
        <f t="shared" si="6"/>
        <v>38745</v>
      </c>
    </row>
    <row r="139" spans="1:10" ht="18" customHeight="1">
      <c r="A139" s="186"/>
      <c r="B139" s="97" t="s">
        <v>2</v>
      </c>
      <c r="C139" s="53"/>
      <c r="D139" s="197"/>
      <c r="E139" s="377"/>
      <c r="F139" s="368">
        <f t="shared" si="7"/>
        <v>0</v>
      </c>
      <c r="H139" s="400">
        <f t="shared" si="8"/>
        <v>0</v>
      </c>
      <c r="J139" s="400">
        <f t="shared" si="6"/>
        <v>0</v>
      </c>
    </row>
    <row r="140" spans="1:10" ht="18" customHeight="1">
      <c r="A140" s="186"/>
      <c r="B140" s="98" t="s">
        <v>99</v>
      </c>
      <c r="C140" s="53" t="s">
        <v>28</v>
      </c>
      <c r="D140" s="204">
        <f>D138*1.1</f>
        <v>0.13750000000000001</v>
      </c>
      <c r="E140" s="377">
        <v>200000</v>
      </c>
      <c r="F140" s="368">
        <f t="shared" si="7"/>
        <v>27500.000000000004</v>
      </c>
      <c r="G140" s="400">
        <v>350000</v>
      </c>
      <c r="H140" s="400">
        <f t="shared" si="8"/>
        <v>48125.000000000007</v>
      </c>
      <c r="I140" s="400">
        <v>280000</v>
      </c>
      <c r="J140" s="400">
        <f t="shared" si="6"/>
        <v>38500</v>
      </c>
    </row>
    <row r="141" spans="1:10" ht="18" customHeight="1">
      <c r="A141" s="187"/>
      <c r="B141" s="97" t="s">
        <v>100</v>
      </c>
      <c r="C141" s="54"/>
      <c r="D141" s="198"/>
      <c r="E141" s="384"/>
      <c r="F141" s="368">
        <f t="shared" si="7"/>
        <v>0</v>
      </c>
      <c r="H141" s="400">
        <f t="shared" si="8"/>
        <v>0</v>
      </c>
      <c r="J141" s="400">
        <f t="shared" si="6"/>
        <v>0</v>
      </c>
    </row>
    <row r="142" spans="1:10" ht="18" customHeight="1">
      <c r="A142" s="187"/>
      <c r="B142" s="97"/>
      <c r="C142" s="54"/>
      <c r="D142" s="198"/>
      <c r="E142" s="384"/>
      <c r="F142" s="368">
        <f t="shared" si="7"/>
        <v>0</v>
      </c>
      <c r="H142" s="400">
        <f t="shared" si="8"/>
        <v>0</v>
      </c>
      <c r="J142" s="400">
        <f t="shared" si="6"/>
        <v>0</v>
      </c>
    </row>
    <row r="143" spans="1:10" ht="18" customHeight="1">
      <c r="A143" s="184"/>
      <c r="B143" s="93" t="s">
        <v>19</v>
      </c>
      <c r="C143" s="22"/>
      <c r="D143" s="24"/>
      <c r="E143" s="374"/>
      <c r="F143" s="368">
        <f t="shared" si="7"/>
        <v>0</v>
      </c>
      <c r="H143" s="400">
        <f t="shared" si="8"/>
        <v>0</v>
      </c>
      <c r="J143" s="400">
        <f t="shared" si="6"/>
        <v>0</v>
      </c>
    </row>
    <row r="144" spans="1:10" ht="18" customHeight="1">
      <c r="A144" s="184"/>
      <c r="B144" s="94" t="s">
        <v>22</v>
      </c>
      <c r="C144" s="22" t="s">
        <v>21</v>
      </c>
      <c r="D144" s="226">
        <f>D136/6</f>
        <v>4.083333333333332E-3</v>
      </c>
      <c r="E144" s="374">
        <v>65000</v>
      </c>
      <c r="F144" s="368">
        <f t="shared" si="7"/>
        <v>265.41666666666657</v>
      </c>
      <c r="G144" s="400">
        <v>50000</v>
      </c>
      <c r="H144" s="400">
        <f t="shared" si="8"/>
        <v>204.1666666666666</v>
      </c>
      <c r="I144" s="400">
        <v>40000</v>
      </c>
      <c r="J144" s="400">
        <f t="shared" si="6"/>
        <v>163.33333333333329</v>
      </c>
    </row>
    <row r="145" spans="1:10" ht="18" customHeight="1">
      <c r="A145" s="153"/>
      <c r="B145" s="93" t="s">
        <v>112</v>
      </c>
      <c r="C145" s="27"/>
      <c r="D145" s="32"/>
      <c r="E145" s="381"/>
      <c r="F145" s="368">
        <f t="shared" si="7"/>
        <v>0</v>
      </c>
      <c r="H145" s="400">
        <f t="shared" si="8"/>
        <v>0</v>
      </c>
      <c r="J145" s="400">
        <f t="shared" si="6"/>
        <v>0</v>
      </c>
    </row>
    <row r="146" spans="1:10" ht="18" customHeight="1">
      <c r="A146" s="153"/>
      <c r="B146" s="93"/>
      <c r="C146" s="27"/>
      <c r="D146" s="32"/>
      <c r="E146" s="381"/>
      <c r="F146" s="368">
        <f t="shared" si="7"/>
        <v>0</v>
      </c>
      <c r="H146" s="400">
        <f t="shared" si="8"/>
        <v>0</v>
      </c>
      <c r="J146" s="400">
        <f t="shared" si="6"/>
        <v>0</v>
      </c>
    </row>
    <row r="147" spans="1:10" ht="18" customHeight="1">
      <c r="A147" s="186"/>
      <c r="B147" s="98" t="s">
        <v>26</v>
      </c>
      <c r="C147" s="53" t="s">
        <v>21</v>
      </c>
      <c r="D147" s="227">
        <f>D144</f>
        <v>4.083333333333332E-3</v>
      </c>
      <c r="E147" s="377">
        <v>55000</v>
      </c>
      <c r="F147" s="368">
        <f t="shared" si="7"/>
        <v>224.58333333333326</v>
      </c>
      <c r="G147" s="400">
        <v>20000</v>
      </c>
      <c r="H147" s="400">
        <f t="shared" si="8"/>
        <v>81.666666666666643</v>
      </c>
      <c r="I147" s="400">
        <v>20000</v>
      </c>
      <c r="J147" s="400">
        <f t="shared" si="6"/>
        <v>81.666666666666643</v>
      </c>
    </row>
    <row r="148" spans="1:10" ht="18" customHeight="1">
      <c r="A148" s="187"/>
      <c r="B148" s="97" t="s">
        <v>113</v>
      </c>
      <c r="C148" s="54"/>
      <c r="D148" s="198"/>
      <c r="E148" s="384"/>
      <c r="F148" s="368">
        <f t="shared" si="7"/>
        <v>0</v>
      </c>
      <c r="H148" s="400">
        <f t="shared" si="8"/>
        <v>0</v>
      </c>
      <c r="J148" s="400">
        <f t="shared" si="6"/>
        <v>0</v>
      </c>
    </row>
    <row r="149" spans="1:10" ht="18" customHeight="1">
      <c r="A149" s="179">
        <v>6.03</v>
      </c>
      <c r="B149" s="95" t="s">
        <v>104</v>
      </c>
      <c r="C149" s="65" t="s">
        <v>10</v>
      </c>
      <c r="D149" s="201">
        <f>(3*0.25*0.25)*2</f>
        <v>0.375</v>
      </c>
      <c r="E149" s="375">
        <v>295000.00000000006</v>
      </c>
      <c r="F149" s="367">
        <f>SUBTOTAL(9,F150:F160)</f>
        <v>110625.00000000001</v>
      </c>
      <c r="G149" s="403"/>
      <c r="H149" s="367">
        <f>SUBTOTAL(9,H150:H160)</f>
        <v>150625</v>
      </c>
      <c r="I149" s="403">
        <v>318000</v>
      </c>
      <c r="J149" s="403">
        <f t="shared" si="6"/>
        <v>119250</v>
      </c>
    </row>
    <row r="150" spans="1:10" ht="18" customHeight="1">
      <c r="A150" s="186"/>
      <c r="B150" s="97" t="s">
        <v>2</v>
      </c>
      <c r="C150" s="53"/>
      <c r="D150" s="197"/>
      <c r="E150" s="377"/>
      <c r="F150" s="368">
        <f t="shared" si="7"/>
        <v>0</v>
      </c>
      <c r="H150" s="400">
        <f t="shared" si="8"/>
        <v>0</v>
      </c>
      <c r="J150" s="400">
        <f t="shared" si="6"/>
        <v>0</v>
      </c>
    </row>
    <row r="151" spans="1:10" ht="18" customHeight="1">
      <c r="A151" s="186"/>
      <c r="B151" s="98" t="s">
        <v>99</v>
      </c>
      <c r="C151" s="53" t="s">
        <v>28</v>
      </c>
      <c r="D151" s="204">
        <f>D149*1.1</f>
        <v>0.41250000000000003</v>
      </c>
      <c r="E151" s="377">
        <v>250000</v>
      </c>
      <c r="F151" s="368">
        <f t="shared" si="7"/>
        <v>103125.00000000001</v>
      </c>
      <c r="G151" s="400">
        <v>350000</v>
      </c>
      <c r="H151" s="400">
        <f t="shared" si="8"/>
        <v>144375</v>
      </c>
      <c r="I151" s="400">
        <v>280000</v>
      </c>
      <c r="J151" s="400">
        <f t="shared" si="6"/>
        <v>115500.00000000001</v>
      </c>
    </row>
    <row r="152" spans="1:10" ht="18" customHeight="1">
      <c r="A152" s="187"/>
      <c r="B152" s="97" t="s">
        <v>100</v>
      </c>
      <c r="C152" s="54"/>
      <c r="D152" s="198"/>
      <c r="E152" s="384"/>
      <c r="F152" s="368">
        <f t="shared" si="7"/>
        <v>0</v>
      </c>
      <c r="H152" s="400">
        <f t="shared" si="8"/>
        <v>0</v>
      </c>
      <c r="J152" s="400">
        <f t="shared" si="6"/>
        <v>0</v>
      </c>
    </row>
    <row r="153" spans="1:10" ht="18" customHeight="1">
      <c r="A153" s="187"/>
      <c r="B153" s="97"/>
      <c r="C153" s="54"/>
      <c r="D153" s="198"/>
      <c r="E153" s="384"/>
      <c r="F153" s="368">
        <f t="shared" si="7"/>
        <v>0</v>
      </c>
      <c r="H153" s="400">
        <f t="shared" si="8"/>
        <v>0</v>
      </c>
      <c r="J153" s="400">
        <f t="shared" si="6"/>
        <v>0</v>
      </c>
    </row>
    <row r="154" spans="1:10" ht="18" customHeight="1">
      <c r="A154" s="184"/>
      <c r="B154" s="93" t="s">
        <v>19</v>
      </c>
      <c r="C154" s="22"/>
      <c r="D154" s="24"/>
      <c r="E154" s="374"/>
      <c r="F154" s="368">
        <f t="shared" si="7"/>
        <v>0</v>
      </c>
      <c r="H154" s="400">
        <f t="shared" si="8"/>
        <v>0</v>
      </c>
      <c r="J154" s="400">
        <f t="shared" si="6"/>
        <v>0</v>
      </c>
    </row>
    <row r="155" spans="1:10" ht="18" customHeight="1">
      <c r="A155" s="184"/>
      <c r="B155" s="94" t="s">
        <v>22</v>
      </c>
      <c r="C155" s="22" t="s">
        <v>21</v>
      </c>
      <c r="D155" s="24">
        <f>D149/6</f>
        <v>6.25E-2</v>
      </c>
      <c r="E155" s="374">
        <v>65000</v>
      </c>
      <c r="F155" s="368">
        <f t="shared" si="7"/>
        <v>4062.5</v>
      </c>
      <c r="G155" s="400">
        <v>50000</v>
      </c>
      <c r="H155" s="400">
        <f t="shared" si="8"/>
        <v>3125</v>
      </c>
      <c r="I155" s="400">
        <v>40000</v>
      </c>
      <c r="J155" s="400">
        <f t="shared" si="6"/>
        <v>2500</v>
      </c>
    </row>
    <row r="156" spans="1:10" ht="18" customHeight="1">
      <c r="A156" s="153"/>
      <c r="B156" s="93" t="s">
        <v>112</v>
      </c>
      <c r="C156" s="27"/>
      <c r="D156" s="32"/>
      <c r="E156" s="381"/>
      <c r="F156" s="368">
        <f t="shared" si="7"/>
        <v>0</v>
      </c>
      <c r="H156" s="400">
        <f t="shared" si="8"/>
        <v>0</v>
      </c>
      <c r="J156" s="400">
        <f t="shared" si="6"/>
        <v>0</v>
      </c>
    </row>
    <row r="157" spans="1:10" ht="18" customHeight="1">
      <c r="A157" s="153"/>
      <c r="B157" s="93"/>
      <c r="C157" s="27"/>
      <c r="D157" s="32"/>
      <c r="E157" s="381"/>
      <c r="F157" s="368">
        <f t="shared" si="7"/>
        <v>0</v>
      </c>
      <c r="H157" s="400">
        <f t="shared" si="8"/>
        <v>0</v>
      </c>
      <c r="J157" s="400">
        <f t="shared" si="6"/>
        <v>0</v>
      </c>
    </row>
    <row r="158" spans="1:10" ht="18" customHeight="1">
      <c r="A158" s="186"/>
      <c r="B158" s="98" t="s">
        <v>26</v>
      </c>
      <c r="C158" s="53" t="s">
        <v>21</v>
      </c>
      <c r="D158" s="204">
        <f>D155</f>
        <v>6.25E-2</v>
      </c>
      <c r="E158" s="377">
        <v>55000</v>
      </c>
      <c r="F158" s="368">
        <f t="shared" si="7"/>
        <v>3437.5</v>
      </c>
      <c r="G158" s="400">
        <v>50000</v>
      </c>
      <c r="H158" s="400">
        <f t="shared" si="8"/>
        <v>3125</v>
      </c>
      <c r="I158" s="400">
        <v>20000</v>
      </c>
      <c r="J158" s="400">
        <f t="shared" si="6"/>
        <v>1250</v>
      </c>
    </row>
    <row r="159" spans="1:10" ht="18" customHeight="1">
      <c r="A159" s="187"/>
      <c r="B159" s="97" t="s">
        <v>113</v>
      </c>
      <c r="C159" s="54"/>
      <c r="D159" s="198"/>
      <c r="E159" s="384"/>
      <c r="F159" s="368">
        <f t="shared" si="7"/>
        <v>0</v>
      </c>
      <c r="H159" s="400">
        <f t="shared" si="8"/>
        <v>0</v>
      </c>
      <c r="J159" s="400">
        <f t="shared" si="6"/>
        <v>0</v>
      </c>
    </row>
    <row r="160" spans="1:10" ht="18" customHeight="1">
      <c r="A160" s="187"/>
      <c r="B160" s="97"/>
      <c r="C160" s="54"/>
      <c r="D160" s="198"/>
      <c r="E160" s="384"/>
      <c r="F160" s="368">
        <f t="shared" si="7"/>
        <v>0</v>
      </c>
      <c r="H160" s="400">
        <f t="shared" si="8"/>
        <v>0</v>
      </c>
      <c r="J160" s="400">
        <f t="shared" si="6"/>
        <v>0</v>
      </c>
    </row>
    <row r="161" spans="1:10" ht="18" customHeight="1">
      <c r="A161" s="155">
        <v>7</v>
      </c>
      <c r="B161" s="474" t="s">
        <v>73</v>
      </c>
      <c r="C161" s="474"/>
      <c r="D161" s="474"/>
      <c r="E161" s="372"/>
      <c r="F161" s="368">
        <f t="shared" si="7"/>
        <v>0</v>
      </c>
      <c r="H161" s="400">
        <f t="shared" si="8"/>
        <v>0</v>
      </c>
      <c r="J161" s="400">
        <f t="shared" si="6"/>
        <v>0</v>
      </c>
    </row>
    <row r="162" spans="1:10" ht="18" customHeight="1">
      <c r="A162" s="182">
        <v>7.01</v>
      </c>
      <c r="B162" s="15" t="s">
        <v>71</v>
      </c>
      <c r="C162" s="3" t="s">
        <v>28</v>
      </c>
      <c r="D162" s="195">
        <f>0.4*0.8*16</f>
        <v>5.120000000000001</v>
      </c>
      <c r="E162" s="371">
        <v>85069.756862745096</v>
      </c>
      <c r="F162" s="367">
        <f>SUBTOTAL(9,F163:F172)</f>
        <v>435557.15513725497</v>
      </c>
      <c r="G162" s="403"/>
      <c r="H162" s="367">
        <f>SUBTOTAL(9,H163:H172)</f>
        <v>400772.71843137266</v>
      </c>
      <c r="I162" s="403">
        <v>87826.431372549021</v>
      </c>
      <c r="J162" s="403">
        <f t="shared" si="6"/>
        <v>449671.32862745109</v>
      </c>
    </row>
    <row r="163" spans="1:10" ht="18" customHeight="1">
      <c r="A163" s="181"/>
      <c r="B163" s="7" t="s">
        <v>29</v>
      </c>
      <c r="C163" s="8"/>
      <c r="D163" s="190"/>
      <c r="E163" s="368"/>
      <c r="F163" s="368">
        <f t="shared" si="7"/>
        <v>0</v>
      </c>
      <c r="H163" s="400">
        <f t="shared" si="8"/>
        <v>0</v>
      </c>
      <c r="J163" s="400">
        <f t="shared" si="6"/>
        <v>0</v>
      </c>
    </row>
    <row r="164" spans="1:10" ht="18" customHeight="1">
      <c r="A164" s="181"/>
      <c r="B164" s="12" t="s">
        <v>30</v>
      </c>
      <c r="C164" s="8" t="s">
        <v>28</v>
      </c>
      <c r="D164" s="44">
        <f>D162*(10/17)*1.57</f>
        <v>4.7284705882352958</v>
      </c>
      <c r="E164" s="368">
        <v>33500</v>
      </c>
      <c r="F164" s="368">
        <f t="shared" si="7"/>
        <v>158403.76470588241</v>
      </c>
      <c r="G164" s="400">
        <v>15000</v>
      </c>
      <c r="H164" s="400">
        <f t="shared" si="8"/>
        <v>70927.058823529442</v>
      </c>
      <c r="I164" s="400">
        <v>25000</v>
      </c>
      <c r="J164" s="400">
        <f t="shared" si="6"/>
        <v>118211.76470588239</v>
      </c>
    </row>
    <row r="165" spans="1:10" s="86" customFormat="1" ht="18" customHeight="1">
      <c r="A165" s="181"/>
      <c r="B165" s="12" t="s">
        <v>11</v>
      </c>
      <c r="C165" s="8" t="s">
        <v>31</v>
      </c>
      <c r="D165" s="24">
        <f>D162*(1/17)*1.57*(1440/50)</f>
        <v>13.617995294117648</v>
      </c>
      <c r="E165" s="368">
        <v>11200</v>
      </c>
      <c r="F165" s="368">
        <f t="shared" si="7"/>
        <v>152521.54729411766</v>
      </c>
      <c r="G165" s="429">
        <v>14000</v>
      </c>
      <c r="H165" s="465">
        <f t="shared" si="8"/>
        <v>190651.93411764706</v>
      </c>
      <c r="I165" s="429">
        <v>13500</v>
      </c>
      <c r="J165" s="400">
        <f t="shared" si="6"/>
        <v>183842.93647058826</v>
      </c>
    </row>
    <row r="166" spans="1:10" ht="18" customHeight="1">
      <c r="A166" s="181"/>
      <c r="B166" s="12" t="s">
        <v>32</v>
      </c>
      <c r="C166" s="8" t="s">
        <v>28</v>
      </c>
      <c r="D166" s="24">
        <f>D162*(6/17)*1.57</f>
        <v>2.8370823529411773</v>
      </c>
      <c r="E166" s="368">
        <v>32500</v>
      </c>
      <c r="F166" s="368">
        <f t="shared" si="7"/>
        <v>92205.176470588267</v>
      </c>
      <c r="G166" s="400">
        <v>25000</v>
      </c>
      <c r="H166" s="400">
        <f t="shared" si="8"/>
        <v>70927.058823529427</v>
      </c>
      <c r="I166" s="400">
        <v>40000</v>
      </c>
      <c r="J166" s="400">
        <f t="shared" si="6"/>
        <v>113483.29411764709</v>
      </c>
    </row>
    <row r="167" spans="1:10" ht="18" customHeight="1">
      <c r="A167" s="181"/>
      <c r="B167" s="7" t="s">
        <v>5</v>
      </c>
      <c r="C167" s="8"/>
      <c r="D167" s="44"/>
      <c r="E167" s="378"/>
      <c r="F167" s="368">
        <f t="shared" si="7"/>
        <v>0</v>
      </c>
      <c r="H167" s="400">
        <f t="shared" si="8"/>
        <v>0</v>
      </c>
      <c r="J167" s="400">
        <f t="shared" si="6"/>
        <v>0</v>
      </c>
    </row>
    <row r="168" spans="1:10" ht="18" customHeight="1">
      <c r="A168" s="181"/>
      <c r="B168" s="12"/>
      <c r="C168" s="8"/>
      <c r="D168" s="44"/>
      <c r="E168" s="368"/>
      <c r="F168" s="368">
        <f t="shared" si="7"/>
        <v>0</v>
      </c>
      <c r="H168" s="400">
        <f t="shared" si="8"/>
        <v>0</v>
      </c>
      <c r="J168" s="400">
        <f t="shared" si="6"/>
        <v>0</v>
      </c>
    </row>
    <row r="169" spans="1:10" ht="18" customHeight="1">
      <c r="A169" s="180"/>
      <c r="B169" s="7" t="s">
        <v>33</v>
      </c>
      <c r="C169" s="8"/>
      <c r="D169" s="44"/>
      <c r="E169" s="368"/>
      <c r="F169" s="368">
        <f t="shared" si="7"/>
        <v>0</v>
      </c>
      <c r="H169" s="400">
        <f t="shared" si="8"/>
        <v>0</v>
      </c>
      <c r="J169" s="400">
        <f t="shared" si="6"/>
        <v>0</v>
      </c>
    </row>
    <row r="170" spans="1:10" ht="18" customHeight="1">
      <c r="A170" s="180"/>
      <c r="B170" s="12" t="s">
        <v>34</v>
      </c>
      <c r="C170" s="8" t="s">
        <v>21</v>
      </c>
      <c r="D170" s="44">
        <f>D162/1.5</f>
        <v>3.413333333333334</v>
      </c>
      <c r="E170" s="368">
        <v>4500</v>
      </c>
      <c r="F170" s="368">
        <f t="shared" si="7"/>
        <v>15360.000000000004</v>
      </c>
      <c r="G170" s="400">
        <v>10000</v>
      </c>
      <c r="H170" s="400">
        <f t="shared" si="8"/>
        <v>34133.333333333343</v>
      </c>
      <c r="I170" s="400">
        <v>5000</v>
      </c>
      <c r="J170" s="400">
        <f t="shared" si="6"/>
        <v>17066.666666666672</v>
      </c>
    </row>
    <row r="171" spans="1:10" ht="18" customHeight="1">
      <c r="A171" s="180"/>
      <c r="B171" s="12" t="s">
        <v>7</v>
      </c>
      <c r="C171" s="8" t="s">
        <v>21</v>
      </c>
      <c r="D171" s="44">
        <f>+D170*2</f>
        <v>6.826666666666668</v>
      </c>
      <c r="E171" s="368">
        <v>2500</v>
      </c>
      <c r="F171" s="368">
        <f t="shared" si="7"/>
        <v>17066.666666666672</v>
      </c>
      <c r="G171" s="400">
        <v>5000</v>
      </c>
      <c r="H171" s="400">
        <f t="shared" si="8"/>
        <v>34133.333333333343</v>
      </c>
      <c r="I171" s="400">
        <v>2500</v>
      </c>
      <c r="J171" s="400">
        <f t="shared" si="6"/>
        <v>17066.666666666672</v>
      </c>
    </row>
    <row r="172" spans="1:10" ht="18" customHeight="1">
      <c r="A172" s="153"/>
      <c r="B172" s="93" t="s">
        <v>9</v>
      </c>
      <c r="C172" s="27"/>
      <c r="D172" s="32"/>
      <c r="E172" s="381"/>
      <c r="F172" s="368">
        <f t="shared" si="7"/>
        <v>0</v>
      </c>
      <c r="H172" s="400">
        <f t="shared" si="8"/>
        <v>0</v>
      </c>
      <c r="J172" s="400">
        <f t="shared" si="6"/>
        <v>0</v>
      </c>
    </row>
    <row r="173" spans="1:10" ht="18" customHeight="1">
      <c r="A173" s="179">
        <v>8.01</v>
      </c>
      <c r="B173" s="15" t="s">
        <v>35</v>
      </c>
      <c r="C173" s="34" t="s">
        <v>36</v>
      </c>
      <c r="D173" s="35">
        <f>16*0.25</f>
        <v>4</v>
      </c>
      <c r="E173" s="367">
        <v>1980</v>
      </c>
      <c r="F173" s="367">
        <f>SUBTOTAL(9,F174:F183)</f>
        <v>7920</v>
      </c>
      <c r="G173" s="403"/>
      <c r="H173" s="367">
        <f>SUBTOTAL(9,H174:H183)</f>
        <v>10800</v>
      </c>
      <c r="I173" s="403">
        <v>4500</v>
      </c>
      <c r="J173" s="403">
        <f t="shared" si="6"/>
        <v>18000</v>
      </c>
    </row>
    <row r="174" spans="1:10" ht="18" customHeight="1">
      <c r="A174" s="181"/>
      <c r="B174" s="7" t="s">
        <v>29</v>
      </c>
      <c r="C174" s="8"/>
      <c r="D174" s="44"/>
      <c r="E174" s="368"/>
      <c r="F174" s="368">
        <f t="shared" si="7"/>
        <v>0</v>
      </c>
      <c r="H174" s="400">
        <f t="shared" si="8"/>
        <v>0</v>
      </c>
      <c r="J174" s="400">
        <f t="shared" si="6"/>
        <v>0</v>
      </c>
    </row>
    <row r="175" spans="1:10" ht="18" customHeight="1">
      <c r="A175" s="180"/>
      <c r="B175" s="12" t="s">
        <v>37</v>
      </c>
      <c r="C175" s="8" t="s">
        <v>38</v>
      </c>
      <c r="D175" s="44">
        <f>D173</f>
        <v>4</v>
      </c>
      <c r="E175" s="368">
        <v>1500</v>
      </c>
      <c r="F175" s="368">
        <f t="shared" si="7"/>
        <v>6000</v>
      </c>
      <c r="G175" s="400">
        <v>2500</v>
      </c>
      <c r="H175" s="400">
        <f t="shared" si="8"/>
        <v>10000</v>
      </c>
      <c r="I175" s="400">
        <v>4000</v>
      </c>
      <c r="J175" s="400">
        <f t="shared" si="6"/>
        <v>16000</v>
      </c>
    </row>
    <row r="176" spans="1:10" ht="18" customHeight="1">
      <c r="A176" s="155"/>
      <c r="B176" s="7" t="s">
        <v>5</v>
      </c>
      <c r="C176" s="11"/>
      <c r="D176" s="59"/>
      <c r="E176" s="378"/>
      <c r="F176" s="368">
        <f t="shared" si="7"/>
        <v>0</v>
      </c>
      <c r="H176" s="400">
        <f t="shared" si="8"/>
        <v>0</v>
      </c>
      <c r="J176" s="400">
        <f t="shared" si="6"/>
        <v>0</v>
      </c>
    </row>
    <row r="177" spans="1:10" ht="18" customHeight="1">
      <c r="A177" s="180"/>
      <c r="B177" s="12"/>
      <c r="C177" s="8"/>
      <c r="D177" s="44"/>
      <c r="E177" s="368"/>
      <c r="F177" s="368">
        <f t="shared" si="7"/>
        <v>0</v>
      </c>
      <c r="H177" s="400">
        <f t="shared" si="8"/>
        <v>0</v>
      </c>
      <c r="J177" s="400">
        <f t="shared" si="6"/>
        <v>0</v>
      </c>
    </row>
    <row r="178" spans="1:10" ht="18" customHeight="1">
      <c r="A178" s="214"/>
      <c r="B178" s="7" t="s">
        <v>33</v>
      </c>
      <c r="C178" s="8"/>
      <c r="D178" s="44"/>
      <c r="E178" s="368"/>
      <c r="F178" s="368">
        <f t="shared" si="7"/>
        <v>0</v>
      </c>
      <c r="H178" s="400">
        <f t="shared" si="8"/>
        <v>0</v>
      </c>
      <c r="J178" s="400">
        <f t="shared" si="6"/>
        <v>0</v>
      </c>
    </row>
    <row r="179" spans="1:10" ht="18" customHeight="1">
      <c r="A179" s="180"/>
      <c r="B179" s="12" t="s">
        <v>34</v>
      </c>
      <c r="C179" s="8" t="s">
        <v>21</v>
      </c>
      <c r="D179" s="24">
        <f>D173/100</f>
        <v>0.04</v>
      </c>
      <c r="E179" s="368">
        <v>18000</v>
      </c>
      <c r="F179" s="368">
        <f t="shared" si="7"/>
        <v>720</v>
      </c>
      <c r="G179" s="400">
        <v>10000</v>
      </c>
      <c r="H179" s="400">
        <f t="shared" si="8"/>
        <v>400</v>
      </c>
      <c r="I179" s="400">
        <v>30000</v>
      </c>
      <c r="J179" s="400">
        <f t="shared" si="6"/>
        <v>1200</v>
      </c>
    </row>
    <row r="180" spans="1:10" ht="18" customHeight="1">
      <c r="A180" s="180"/>
      <c r="B180" s="12" t="s">
        <v>7</v>
      </c>
      <c r="C180" s="8" t="s">
        <v>21</v>
      </c>
      <c r="D180" s="44">
        <f>+D179*2</f>
        <v>0.08</v>
      </c>
      <c r="E180" s="368">
        <v>15000</v>
      </c>
      <c r="F180" s="368">
        <f t="shared" si="7"/>
        <v>1200</v>
      </c>
      <c r="G180" s="400">
        <v>5000</v>
      </c>
      <c r="H180" s="400">
        <f t="shared" si="8"/>
        <v>400</v>
      </c>
      <c r="I180" s="400">
        <v>10000</v>
      </c>
      <c r="J180" s="400">
        <f t="shared" si="6"/>
        <v>800</v>
      </c>
    </row>
    <row r="181" spans="1:10" ht="18" customHeight="1">
      <c r="A181" s="155"/>
      <c r="B181" s="7" t="s">
        <v>39</v>
      </c>
      <c r="C181" s="11"/>
      <c r="D181" s="59"/>
      <c r="E181" s="378"/>
      <c r="F181" s="368">
        <f t="shared" si="7"/>
        <v>0</v>
      </c>
      <c r="H181" s="400">
        <f t="shared" si="8"/>
        <v>0</v>
      </c>
      <c r="J181" s="400">
        <f t="shared" si="6"/>
        <v>0</v>
      </c>
    </row>
    <row r="182" spans="1:10" ht="18" customHeight="1">
      <c r="A182" s="155"/>
      <c r="B182" s="7"/>
      <c r="C182" s="11"/>
      <c r="D182" s="59"/>
      <c r="E182" s="378"/>
      <c r="F182" s="368">
        <f t="shared" si="7"/>
        <v>0</v>
      </c>
      <c r="H182" s="400">
        <f t="shared" si="8"/>
        <v>0</v>
      </c>
      <c r="J182" s="400">
        <f t="shared" si="6"/>
        <v>0</v>
      </c>
    </row>
    <row r="183" spans="1:10" ht="18" customHeight="1">
      <c r="A183" s="153">
        <v>9</v>
      </c>
      <c r="B183" s="475" t="s">
        <v>72</v>
      </c>
      <c r="C183" s="475"/>
      <c r="D183" s="475"/>
      <c r="E183" s="376"/>
      <c r="F183" s="368">
        <f t="shared" si="7"/>
        <v>0</v>
      </c>
      <c r="H183" s="400">
        <f t="shared" si="8"/>
        <v>0</v>
      </c>
      <c r="J183" s="400">
        <f t="shared" si="6"/>
        <v>0</v>
      </c>
    </row>
    <row r="184" spans="1:10" ht="18" customHeight="1">
      <c r="A184" s="179">
        <v>9.01</v>
      </c>
      <c r="B184" s="15" t="s">
        <v>40</v>
      </c>
      <c r="C184" s="3" t="s">
        <v>1</v>
      </c>
      <c r="D184" s="195">
        <f>((16-5)*3+(1.5*4*2))-(1.8)</f>
        <v>43.2</v>
      </c>
      <c r="E184" s="371">
        <v>16453.28487488101</v>
      </c>
      <c r="F184" s="367">
        <f>SUBTOTAL(9,F185:F196)</f>
        <v>710781.90659485967</v>
      </c>
      <c r="G184" s="403"/>
      <c r="H184" s="367">
        <f>SUBTOTAL(9,H185:H196)</f>
        <v>843204.08190910646</v>
      </c>
      <c r="I184" s="403">
        <v>18861.190048479119</v>
      </c>
      <c r="J184" s="403">
        <f t="shared" si="6"/>
        <v>814803.41009429796</v>
      </c>
    </row>
    <row r="185" spans="1:10" ht="18" customHeight="1">
      <c r="A185" s="183"/>
      <c r="B185" s="99"/>
      <c r="C185" s="19" t="s">
        <v>28</v>
      </c>
      <c r="D185" s="227">
        <f>D184*0.2</f>
        <v>8.64</v>
      </c>
      <c r="E185" s="373"/>
      <c r="F185" s="368">
        <f t="shared" si="7"/>
        <v>0</v>
      </c>
      <c r="H185" s="400">
        <f t="shared" si="8"/>
        <v>0</v>
      </c>
      <c r="I185" s="400">
        <v>94306</v>
      </c>
      <c r="J185" s="400">
        <f t="shared" si="6"/>
        <v>814803.84000000008</v>
      </c>
    </row>
    <row r="186" spans="1:10" ht="18" customHeight="1">
      <c r="A186" s="180"/>
      <c r="B186" s="7" t="s">
        <v>2</v>
      </c>
      <c r="C186" s="8"/>
      <c r="D186" s="44"/>
      <c r="E186" s="368"/>
      <c r="F186" s="368">
        <f t="shared" si="7"/>
        <v>0</v>
      </c>
      <c r="H186" s="400">
        <f t="shared" si="8"/>
        <v>0</v>
      </c>
      <c r="J186" s="400">
        <f t="shared" si="6"/>
        <v>0</v>
      </c>
    </row>
    <row r="187" spans="1:10" s="86" customFormat="1" ht="18" customHeight="1">
      <c r="A187" s="180"/>
      <c r="B187" s="46" t="s">
        <v>41</v>
      </c>
      <c r="C187" s="8" t="s">
        <v>31</v>
      </c>
      <c r="D187" s="24">
        <f>D185*0.2439*(1/7)*1.54*(1440/50)</f>
        <v>13.351827456000002</v>
      </c>
      <c r="E187" s="368">
        <v>11200</v>
      </c>
      <c r="F187" s="368">
        <f t="shared" si="7"/>
        <v>149540.46750720002</v>
      </c>
      <c r="G187" s="409">
        <v>14000</v>
      </c>
      <c r="H187" s="400">
        <f t="shared" si="8"/>
        <v>186925.58438400005</v>
      </c>
      <c r="I187" s="409">
        <v>13500</v>
      </c>
      <c r="J187" s="400">
        <f t="shared" si="6"/>
        <v>180249.67065600003</v>
      </c>
    </row>
    <row r="188" spans="1:10" ht="18" customHeight="1">
      <c r="A188" s="180"/>
      <c r="B188" s="46" t="s">
        <v>42</v>
      </c>
      <c r="C188" s="8" t="s">
        <v>28</v>
      </c>
      <c r="D188" s="24">
        <f>D185*0.2439*(6/7)*1.54</f>
        <v>2.7816307200000003</v>
      </c>
      <c r="E188" s="368">
        <v>30500</v>
      </c>
      <c r="F188" s="368">
        <f t="shared" si="7"/>
        <v>84839.736960000009</v>
      </c>
      <c r="G188" s="400">
        <v>27000</v>
      </c>
      <c r="H188" s="400">
        <f t="shared" si="8"/>
        <v>75104.029440000013</v>
      </c>
      <c r="I188" s="400">
        <v>40000</v>
      </c>
      <c r="J188" s="400">
        <f t="shared" si="6"/>
        <v>111265.22880000001</v>
      </c>
    </row>
    <row r="189" spans="1:10" ht="18" customHeight="1">
      <c r="A189" s="180"/>
      <c r="B189" s="46" t="s">
        <v>43</v>
      </c>
      <c r="C189" s="8" t="s">
        <v>44</v>
      </c>
      <c r="D189" s="24">
        <f>D185*1.15/(0.235*0.1125*0.075)</f>
        <v>5011.0638297872347</v>
      </c>
      <c r="E189" s="368">
        <v>58</v>
      </c>
      <c r="F189" s="368">
        <f t="shared" si="7"/>
        <v>290641.70212765964</v>
      </c>
      <c r="G189" s="400">
        <v>70</v>
      </c>
      <c r="H189" s="400">
        <f t="shared" si="8"/>
        <v>350774.4680851064</v>
      </c>
      <c r="I189" s="400">
        <v>55</v>
      </c>
      <c r="J189" s="400">
        <f t="shared" si="6"/>
        <v>275608.51063829788</v>
      </c>
    </row>
    <row r="190" spans="1:10" ht="18" customHeight="1">
      <c r="A190" s="155"/>
      <c r="B190" s="57" t="s">
        <v>5</v>
      </c>
      <c r="C190" s="11"/>
      <c r="D190" s="32"/>
      <c r="E190" s="378"/>
      <c r="F190" s="368">
        <f t="shared" si="7"/>
        <v>0</v>
      </c>
      <c r="H190" s="400">
        <f t="shared" si="8"/>
        <v>0</v>
      </c>
      <c r="J190" s="400">
        <f t="shared" si="6"/>
        <v>0</v>
      </c>
    </row>
    <row r="191" spans="1:10" ht="18" customHeight="1">
      <c r="A191" s="180"/>
      <c r="B191" s="46"/>
      <c r="C191" s="8"/>
      <c r="D191" s="24"/>
      <c r="E191" s="368"/>
      <c r="F191" s="368">
        <f t="shared" si="7"/>
        <v>0</v>
      </c>
      <c r="H191" s="400">
        <f t="shared" si="8"/>
        <v>0</v>
      </c>
      <c r="J191" s="400">
        <f t="shared" si="6"/>
        <v>0</v>
      </c>
    </row>
    <row r="192" spans="1:10" ht="18" customHeight="1">
      <c r="A192" s="180"/>
      <c r="B192" s="7" t="s">
        <v>6</v>
      </c>
      <c r="C192" s="8"/>
      <c r="D192" s="44"/>
      <c r="E192" s="368"/>
      <c r="F192" s="368">
        <f t="shared" si="7"/>
        <v>0</v>
      </c>
      <c r="H192" s="400">
        <f t="shared" si="8"/>
        <v>0</v>
      </c>
      <c r="J192" s="400">
        <f t="shared" si="6"/>
        <v>0</v>
      </c>
    </row>
    <row r="193" spans="1:10" ht="18" customHeight="1">
      <c r="A193" s="180"/>
      <c r="B193" s="12" t="s">
        <v>34</v>
      </c>
      <c r="C193" s="8" t="s">
        <v>8</v>
      </c>
      <c r="D193" s="44">
        <f>D185/1</f>
        <v>8.64</v>
      </c>
      <c r="E193" s="368">
        <v>6500</v>
      </c>
      <c r="F193" s="368">
        <f t="shared" si="7"/>
        <v>56160.000000000007</v>
      </c>
      <c r="G193" s="400">
        <v>10000</v>
      </c>
      <c r="H193" s="400">
        <f t="shared" si="8"/>
        <v>86400</v>
      </c>
      <c r="I193" s="400">
        <v>12000</v>
      </c>
      <c r="J193" s="400">
        <f t="shared" si="6"/>
        <v>103680</v>
      </c>
    </row>
    <row r="194" spans="1:10" ht="18" customHeight="1">
      <c r="A194" s="180"/>
      <c r="B194" s="12" t="s">
        <v>7</v>
      </c>
      <c r="C194" s="8" t="s">
        <v>8</v>
      </c>
      <c r="D194" s="24">
        <f>(D185/1.2)*4</f>
        <v>28.800000000000004</v>
      </c>
      <c r="E194" s="368">
        <v>4500</v>
      </c>
      <c r="F194" s="368">
        <f t="shared" si="7"/>
        <v>129600.00000000001</v>
      </c>
      <c r="G194" s="400">
        <v>5000</v>
      </c>
      <c r="H194" s="400">
        <f t="shared" si="8"/>
        <v>144000.00000000003</v>
      </c>
      <c r="I194" s="400">
        <v>5000</v>
      </c>
      <c r="J194" s="400">
        <f t="shared" si="6"/>
        <v>144000.00000000003</v>
      </c>
    </row>
    <row r="195" spans="1:10" ht="18" customHeight="1">
      <c r="A195" s="159"/>
      <c r="B195" s="57" t="s">
        <v>9</v>
      </c>
      <c r="C195" s="58"/>
      <c r="D195" s="104"/>
      <c r="E195" s="369"/>
      <c r="F195" s="368">
        <f t="shared" si="7"/>
        <v>0</v>
      </c>
      <c r="H195" s="400">
        <f t="shared" si="8"/>
        <v>0</v>
      </c>
      <c r="J195" s="400">
        <f t="shared" si="6"/>
        <v>0</v>
      </c>
    </row>
    <row r="196" spans="1:10" ht="18" customHeight="1">
      <c r="A196" s="159"/>
      <c r="B196" s="57"/>
      <c r="C196" s="58"/>
      <c r="D196" s="104"/>
      <c r="E196" s="369"/>
      <c r="F196" s="368">
        <f t="shared" si="7"/>
        <v>0</v>
      </c>
      <c r="H196" s="400">
        <f t="shared" si="8"/>
        <v>0</v>
      </c>
      <c r="J196" s="400">
        <f t="shared" si="6"/>
        <v>0</v>
      </c>
    </row>
    <row r="197" spans="1:10" ht="18" customHeight="1">
      <c r="A197" s="159">
        <v>10</v>
      </c>
      <c r="B197" s="467" t="s">
        <v>79</v>
      </c>
      <c r="C197" s="467"/>
      <c r="D197" s="467"/>
      <c r="E197" s="402"/>
      <c r="F197" s="368">
        <f t="shared" si="7"/>
        <v>0</v>
      </c>
      <c r="H197" s="400">
        <f t="shared" si="8"/>
        <v>0</v>
      </c>
      <c r="J197" s="400">
        <f t="shared" ref="J197:J260" si="9">D197*I197</f>
        <v>0</v>
      </c>
    </row>
    <row r="198" spans="1:10" ht="18" customHeight="1">
      <c r="A198" s="179">
        <v>10.01</v>
      </c>
      <c r="B198" s="2" t="s">
        <v>74</v>
      </c>
      <c r="C198" s="14" t="s">
        <v>45</v>
      </c>
      <c r="D198" s="215">
        <f>5*0.25*0.2</f>
        <v>0.25</v>
      </c>
      <c r="E198" s="371">
        <v>150864.79860627177</v>
      </c>
      <c r="F198" s="367">
        <f>SUBTOTAL(9,F199:F217)</f>
        <v>37716.199651567942</v>
      </c>
      <c r="G198" s="403"/>
      <c r="H198" s="367">
        <f>SUBTOTAL(9,H199:H217)</f>
        <v>39983.328106852496</v>
      </c>
      <c r="I198" s="403">
        <v>300000</v>
      </c>
      <c r="J198" s="403">
        <f t="shared" si="9"/>
        <v>75000</v>
      </c>
    </row>
    <row r="199" spans="1:10" ht="18" customHeight="1">
      <c r="A199" s="214"/>
      <c r="B199" s="161" t="s">
        <v>29</v>
      </c>
      <c r="C199" s="162"/>
      <c r="D199" s="216"/>
      <c r="E199" s="379"/>
      <c r="F199" s="368">
        <f t="shared" si="7"/>
        <v>0</v>
      </c>
      <c r="H199" s="400">
        <f t="shared" si="8"/>
        <v>0</v>
      </c>
      <c r="J199" s="400">
        <f t="shared" si="9"/>
        <v>0</v>
      </c>
    </row>
    <row r="200" spans="1:10" ht="18" customHeight="1">
      <c r="A200" s="214"/>
      <c r="B200" s="164" t="s">
        <v>14</v>
      </c>
      <c r="C200" s="17" t="s">
        <v>45</v>
      </c>
      <c r="D200" s="216">
        <f>D198*(4/7)*1.57</f>
        <v>0.22428571428571428</v>
      </c>
      <c r="E200" s="379">
        <v>48000</v>
      </c>
      <c r="F200" s="368">
        <f t="shared" ref="F200:F263" si="10">D200*E200</f>
        <v>10765.714285714286</v>
      </c>
      <c r="G200" s="400">
        <v>27000</v>
      </c>
      <c r="H200" s="400">
        <f t="shared" ref="H200:H263" si="11">D200*G200</f>
        <v>6055.7142857142853</v>
      </c>
      <c r="I200" s="400">
        <v>48312</v>
      </c>
      <c r="J200" s="400">
        <f t="shared" si="9"/>
        <v>10835.691428571428</v>
      </c>
    </row>
    <row r="201" spans="1:10" s="86" customFormat="1" ht="19.5">
      <c r="A201" s="214"/>
      <c r="B201" s="164" t="s">
        <v>13</v>
      </c>
      <c r="C201" s="17" t="s">
        <v>45</v>
      </c>
      <c r="D201" s="216">
        <f>D198*(2/7)*1.54</f>
        <v>0.11</v>
      </c>
      <c r="E201" s="379">
        <v>36500</v>
      </c>
      <c r="F201" s="368">
        <f t="shared" si="10"/>
        <v>4015</v>
      </c>
      <c r="G201" s="409">
        <v>25000</v>
      </c>
      <c r="H201" s="400">
        <f t="shared" si="11"/>
        <v>2750</v>
      </c>
      <c r="I201" s="409">
        <v>40000</v>
      </c>
      <c r="J201" s="400">
        <f t="shared" si="9"/>
        <v>4400</v>
      </c>
    </row>
    <row r="202" spans="1:10" ht="19.5">
      <c r="A202" s="214"/>
      <c r="B202" s="164" t="s">
        <v>11</v>
      </c>
      <c r="C202" s="162" t="s">
        <v>12</v>
      </c>
      <c r="D202" s="216">
        <f>D198*(1/7)*1.57*(1440/50)</f>
        <v>1.6148571428571428</v>
      </c>
      <c r="E202" s="379">
        <v>11200</v>
      </c>
      <c r="F202" s="368">
        <f t="shared" si="10"/>
        <v>18086.399999999998</v>
      </c>
      <c r="G202" s="400">
        <v>14000</v>
      </c>
      <c r="H202" s="400">
        <f t="shared" si="11"/>
        <v>22608</v>
      </c>
      <c r="I202" s="400">
        <v>13500</v>
      </c>
      <c r="J202" s="400">
        <f t="shared" si="9"/>
        <v>21800.571428571428</v>
      </c>
    </row>
    <row r="203" spans="1:10" ht="19.5">
      <c r="A203" s="186"/>
      <c r="B203" s="98" t="s">
        <v>15</v>
      </c>
      <c r="C203" s="53" t="s">
        <v>16</v>
      </c>
      <c r="D203" s="204">
        <f>D208*10</f>
        <v>0.41666666666666663</v>
      </c>
      <c r="E203" s="377">
        <v>2200</v>
      </c>
      <c r="F203" s="368">
        <f t="shared" si="10"/>
        <v>916.66666666666663</v>
      </c>
      <c r="G203" s="400">
        <v>2000</v>
      </c>
      <c r="H203" s="400">
        <f t="shared" si="11"/>
        <v>833.33333333333326</v>
      </c>
      <c r="I203" s="400">
        <v>2000</v>
      </c>
      <c r="J203" s="400">
        <f t="shared" si="9"/>
        <v>833.33333333333326</v>
      </c>
    </row>
    <row r="204" spans="1:10" ht="19.5">
      <c r="A204" s="186"/>
      <c r="B204" s="98" t="s">
        <v>17</v>
      </c>
      <c r="C204" s="53" t="s">
        <v>16</v>
      </c>
      <c r="D204" s="204">
        <f>D209*5</f>
        <v>0.20833333333333331</v>
      </c>
      <c r="E204" s="377">
        <v>1900</v>
      </c>
      <c r="F204" s="368">
        <f t="shared" si="10"/>
        <v>395.83333333333331</v>
      </c>
      <c r="G204" s="400">
        <v>2500</v>
      </c>
      <c r="H204" s="400">
        <f t="shared" si="11"/>
        <v>520.83333333333326</v>
      </c>
      <c r="I204" s="400">
        <v>3000</v>
      </c>
      <c r="J204" s="400">
        <f t="shared" si="9"/>
        <v>625</v>
      </c>
    </row>
    <row r="205" spans="1:10" ht="19.5">
      <c r="A205" s="214"/>
      <c r="B205" s="161" t="s">
        <v>5</v>
      </c>
      <c r="C205" s="162"/>
      <c r="D205" s="216"/>
      <c r="E205" s="385"/>
      <c r="F205" s="368">
        <f t="shared" si="10"/>
        <v>0</v>
      </c>
      <c r="H205" s="400">
        <f t="shared" si="11"/>
        <v>0</v>
      </c>
      <c r="J205" s="400">
        <f t="shared" si="9"/>
        <v>0</v>
      </c>
    </row>
    <row r="206" spans="1:10" ht="19.5">
      <c r="A206" s="214"/>
      <c r="B206" s="164"/>
      <c r="C206" s="162"/>
      <c r="D206" s="216"/>
      <c r="E206" s="379"/>
      <c r="F206" s="368">
        <f t="shared" si="10"/>
        <v>0</v>
      </c>
      <c r="H206" s="400">
        <f t="shared" si="11"/>
        <v>0</v>
      </c>
      <c r="J206" s="400">
        <f t="shared" si="9"/>
        <v>0</v>
      </c>
    </row>
    <row r="207" spans="1:10" ht="19.5">
      <c r="A207" s="186"/>
      <c r="B207" s="97" t="s">
        <v>19</v>
      </c>
      <c r="C207" s="53"/>
      <c r="D207" s="204"/>
      <c r="E207" s="377"/>
      <c r="F207" s="368">
        <f t="shared" si="10"/>
        <v>0</v>
      </c>
      <c r="H207" s="400">
        <f t="shared" si="11"/>
        <v>0</v>
      </c>
      <c r="J207" s="400">
        <f t="shared" si="9"/>
        <v>0</v>
      </c>
    </row>
    <row r="208" spans="1:10" ht="19.5">
      <c r="A208" s="186"/>
      <c r="B208" s="98" t="s">
        <v>20</v>
      </c>
      <c r="C208" s="53" t="s">
        <v>21</v>
      </c>
      <c r="D208" s="204">
        <f>D198/6</f>
        <v>4.1666666666666664E-2</v>
      </c>
      <c r="E208" s="377">
        <v>15000</v>
      </c>
      <c r="F208" s="368">
        <f t="shared" si="10"/>
        <v>625</v>
      </c>
      <c r="G208" s="400">
        <v>50000</v>
      </c>
      <c r="H208" s="400">
        <f t="shared" si="11"/>
        <v>2083.333333333333</v>
      </c>
      <c r="I208" s="400">
        <v>80000</v>
      </c>
      <c r="J208" s="400">
        <f t="shared" si="9"/>
        <v>3333.333333333333</v>
      </c>
    </row>
    <row r="209" spans="1:11" ht="19.5">
      <c r="A209" s="186"/>
      <c r="B209" s="98" t="s">
        <v>22</v>
      </c>
      <c r="C209" s="53" t="s">
        <v>21</v>
      </c>
      <c r="D209" s="204">
        <f>D198/6</f>
        <v>4.1666666666666664E-2</v>
      </c>
      <c r="E209" s="377">
        <v>15000</v>
      </c>
      <c r="F209" s="368">
        <f t="shared" si="10"/>
        <v>625</v>
      </c>
      <c r="G209" s="400">
        <v>50000</v>
      </c>
      <c r="H209" s="400">
        <f t="shared" si="11"/>
        <v>2083.333333333333</v>
      </c>
      <c r="I209" s="400">
        <v>40000</v>
      </c>
      <c r="J209" s="400">
        <f t="shared" si="9"/>
        <v>1666.6666666666665</v>
      </c>
    </row>
    <row r="210" spans="1:11" ht="19.5">
      <c r="A210" s="187"/>
      <c r="B210" s="97" t="s">
        <v>23</v>
      </c>
      <c r="C210" s="54"/>
      <c r="D210" s="198"/>
      <c r="E210" s="384"/>
      <c r="F210" s="368">
        <f t="shared" si="10"/>
        <v>0</v>
      </c>
      <c r="H210" s="400">
        <f t="shared" si="11"/>
        <v>0</v>
      </c>
      <c r="J210" s="400">
        <f t="shared" si="9"/>
        <v>0</v>
      </c>
    </row>
    <row r="211" spans="1:11" ht="19.5">
      <c r="A211" s="187"/>
      <c r="B211" s="97"/>
      <c r="C211" s="54"/>
      <c r="D211" s="198"/>
      <c r="E211" s="384"/>
      <c r="F211" s="368">
        <f t="shared" si="10"/>
        <v>0</v>
      </c>
      <c r="H211" s="400">
        <f t="shared" si="11"/>
        <v>0</v>
      </c>
      <c r="J211" s="400">
        <f t="shared" si="9"/>
        <v>0</v>
      </c>
    </row>
    <row r="212" spans="1:11" ht="19.5">
      <c r="A212" s="217"/>
      <c r="B212" s="161" t="s">
        <v>33</v>
      </c>
      <c r="C212" s="162"/>
      <c r="D212" s="216"/>
      <c r="E212" s="379"/>
      <c r="F212" s="368">
        <f t="shared" si="10"/>
        <v>0</v>
      </c>
      <c r="H212" s="400">
        <f t="shared" si="11"/>
        <v>0</v>
      </c>
      <c r="J212" s="400">
        <f t="shared" si="9"/>
        <v>0</v>
      </c>
    </row>
    <row r="213" spans="1:11" ht="19.5">
      <c r="A213" s="217"/>
      <c r="B213" s="164" t="s">
        <v>34</v>
      </c>
      <c r="C213" s="162" t="s">
        <v>21</v>
      </c>
      <c r="D213" s="216">
        <f>D198/1.64</f>
        <v>0.1524390243902439</v>
      </c>
      <c r="E213" s="379">
        <v>6000</v>
      </c>
      <c r="F213" s="368">
        <f t="shared" si="10"/>
        <v>914.63414634146341</v>
      </c>
      <c r="G213" s="400">
        <v>10000</v>
      </c>
      <c r="H213" s="400">
        <f t="shared" si="11"/>
        <v>1524.3902439024389</v>
      </c>
      <c r="I213" s="400">
        <v>56676</v>
      </c>
      <c r="J213" s="400">
        <f t="shared" si="9"/>
        <v>8639.6341463414628</v>
      </c>
    </row>
    <row r="214" spans="1:11" ht="19.5">
      <c r="A214" s="217"/>
      <c r="B214" s="164" t="s">
        <v>7</v>
      </c>
      <c r="C214" s="162" t="s">
        <v>21</v>
      </c>
      <c r="D214" s="216">
        <f>+D213*2</f>
        <v>0.3048780487804878</v>
      </c>
      <c r="E214" s="379">
        <v>4500</v>
      </c>
      <c r="F214" s="368">
        <f t="shared" si="10"/>
        <v>1371.9512195121952</v>
      </c>
      <c r="G214" s="400">
        <v>5000</v>
      </c>
      <c r="H214" s="400">
        <f t="shared" si="11"/>
        <v>1524.3902439024389</v>
      </c>
      <c r="I214" s="400">
        <v>75000</v>
      </c>
      <c r="J214" s="400">
        <f t="shared" si="9"/>
        <v>22865.853658536584</v>
      </c>
    </row>
    <row r="215" spans="1:11" ht="19.5">
      <c r="A215" s="169"/>
      <c r="B215" s="161" t="s">
        <v>119</v>
      </c>
      <c r="C215" s="167"/>
      <c r="D215" s="224"/>
      <c r="E215" s="385"/>
      <c r="F215" s="368">
        <f t="shared" si="10"/>
        <v>0</v>
      </c>
      <c r="H215" s="400">
        <f t="shared" si="11"/>
        <v>0</v>
      </c>
      <c r="J215" s="400">
        <f t="shared" si="9"/>
        <v>0</v>
      </c>
    </row>
    <row r="216" spans="1:11" ht="19.5">
      <c r="A216" s="217"/>
      <c r="B216" s="164"/>
      <c r="C216" s="162"/>
      <c r="D216" s="216"/>
      <c r="E216" s="379"/>
      <c r="F216" s="368">
        <f t="shared" si="10"/>
        <v>0</v>
      </c>
      <c r="H216" s="400">
        <f t="shared" si="11"/>
        <v>0</v>
      </c>
      <c r="J216" s="400">
        <f t="shared" si="9"/>
        <v>0</v>
      </c>
    </row>
    <row r="217" spans="1:11" ht="19.5">
      <c r="A217" s="169">
        <v>11</v>
      </c>
      <c r="B217" s="468" t="s">
        <v>76</v>
      </c>
      <c r="C217" s="468"/>
      <c r="D217" s="468"/>
      <c r="E217" s="372"/>
      <c r="F217" s="368">
        <f t="shared" si="10"/>
        <v>0</v>
      </c>
      <c r="H217" s="400">
        <f t="shared" si="11"/>
        <v>0</v>
      </c>
      <c r="J217" s="400">
        <f t="shared" si="9"/>
        <v>0</v>
      </c>
    </row>
    <row r="218" spans="1:11" ht="19.5">
      <c r="A218" s="179">
        <v>11.01</v>
      </c>
      <c r="B218" s="95" t="s">
        <v>75</v>
      </c>
      <c r="C218" s="39" t="s">
        <v>36</v>
      </c>
      <c r="D218" s="195">
        <v>15</v>
      </c>
      <c r="E218" s="380">
        <f>E221+E222+E223+E224+E228+E229+E233+E234</f>
        <v>175700</v>
      </c>
      <c r="F218" s="367">
        <f>SUBTOTAL(9,F219:F236)</f>
        <v>162114.94759224515</v>
      </c>
      <c r="G218" s="403"/>
      <c r="H218" s="367">
        <f>SUBTOTAL(9,H219:H236)</f>
        <v>117724.22388993122</v>
      </c>
      <c r="I218" s="403">
        <v>13749.545090681675</v>
      </c>
      <c r="J218" s="403">
        <f>D218*I218</f>
        <v>206243.17636022513</v>
      </c>
    </row>
    <row r="219" spans="1:11" s="60" customFormat="1" ht="19.5">
      <c r="A219" s="183"/>
      <c r="B219" s="18"/>
      <c r="C219" s="19"/>
      <c r="D219" s="204">
        <f>D218*0.05</f>
        <v>0.75</v>
      </c>
      <c r="E219" s="373"/>
      <c r="F219" s="373">
        <f>D219*E219</f>
        <v>0</v>
      </c>
      <c r="G219" s="459"/>
      <c r="H219" s="410">
        <f t="shared" si="11"/>
        <v>0</v>
      </c>
      <c r="I219" s="460">
        <v>200000</v>
      </c>
      <c r="J219" s="410">
        <f t="shared" si="9"/>
        <v>150000</v>
      </c>
      <c r="K219" s="445"/>
    </row>
    <row r="220" spans="1:11" ht="19.5">
      <c r="A220" s="184"/>
      <c r="B220" s="93" t="s">
        <v>2</v>
      </c>
      <c r="C220" s="22"/>
      <c r="D220" s="24"/>
      <c r="E220" s="377"/>
      <c r="F220" s="373">
        <f t="shared" ref="F220:F236" si="12">D220*E220</f>
        <v>0</v>
      </c>
      <c r="G220" s="461"/>
      <c r="H220" s="410">
        <f t="shared" si="11"/>
        <v>0</v>
      </c>
      <c r="I220" s="410"/>
      <c r="J220" s="410">
        <f t="shared" si="9"/>
        <v>0</v>
      </c>
      <c r="K220" s="50"/>
    </row>
    <row r="221" spans="1:11" s="60" customFormat="1" ht="19.5">
      <c r="A221" s="181"/>
      <c r="B221" s="12" t="s">
        <v>30</v>
      </c>
      <c r="C221" s="8" t="s">
        <v>28</v>
      </c>
      <c r="D221" s="44">
        <f>D218*0.1*1.5</f>
        <v>2.25</v>
      </c>
      <c r="E221" s="373">
        <v>25500</v>
      </c>
      <c r="F221" s="373">
        <f t="shared" si="12"/>
        <v>57375</v>
      </c>
      <c r="G221" s="459">
        <v>15000</v>
      </c>
      <c r="H221" s="410">
        <f t="shared" si="11"/>
        <v>33750</v>
      </c>
      <c r="I221" s="460">
        <v>25000</v>
      </c>
      <c r="J221" s="410">
        <f t="shared" si="9"/>
        <v>56250</v>
      </c>
      <c r="K221" s="445"/>
    </row>
    <row r="222" spans="1:11" ht="19.5">
      <c r="A222" s="184"/>
      <c r="B222" s="94" t="s">
        <v>11</v>
      </c>
      <c r="C222" s="22" t="s">
        <v>12</v>
      </c>
      <c r="D222" s="44">
        <f>D219*(1/13)*1.57*(1440/50)</f>
        <v>2.6086153846153848</v>
      </c>
      <c r="E222" s="377">
        <v>11200</v>
      </c>
      <c r="F222" s="373">
        <f t="shared" si="12"/>
        <v>29216.492307692308</v>
      </c>
      <c r="G222" s="461">
        <v>14000</v>
      </c>
      <c r="H222" s="410">
        <f t="shared" si="11"/>
        <v>36520.61538461539</v>
      </c>
      <c r="I222" s="410">
        <v>13500</v>
      </c>
      <c r="J222" s="410">
        <f t="shared" si="9"/>
        <v>35216.307692307695</v>
      </c>
      <c r="K222" s="50"/>
    </row>
    <row r="223" spans="1:11" ht="19.5">
      <c r="A223" s="184"/>
      <c r="B223" s="94" t="s">
        <v>13</v>
      </c>
      <c r="C223" s="22" t="s">
        <v>10</v>
      </c>
      <c r="D223" s="44">
        <f>D219*(4/13)*1.57</f>
        <v>0.36230769230769233</v>
      </c>
      <c r="E223" s="377">
        <v>36500</v>
      </c>
      <c r="F223" s="373">
        <f t="shared" si="12"/>
        <v>13224.23076923077</v>
      </c>
      <c r="G223" s="461">
        <v>25000</v>
      </c>
      <c r="H223" s="410">
        <f t="shared" si="11"/>
        <v>9057.6923076923085</v>
      </c>
      <c r="I223" s="410">
        <v>40000</v>
      </c>
      <c r="J223" s="410">
        <f t="shared" si="9"/>
        <v>14492.307692307693</v>
      </c>
      <c r="K223" s="50"/>
    </row>
    <row r="224" spans="1:11" ht="19.5">
      <c r="A224" s="184"/>
      <c r="B224" s="94" t="s">
        <v>14</v>
      </c>
      <c r="C224" s="22" t="s">
        <v>10</v>
      </c>
      <c r="D224" s="44">
        <f>D219*(8/13)*1.57</f>
        <v>0.72461538461538466</v>
      </c>
      <c r="E224" s="377">
        <v>43500</v>
      </c>
      <c r="F224" s="373">
        <f t="shared" si="12"/>
        <v>31520.769230769234</v>
      </c>
      <c r="G224" s="461">
        <v>27000</v>
      </c>
      <c r="H224" s="410">
        <f t="shared" si="11"/>
        <v>19564.615384615387</v>
      </c>
      <c r="I224" s="410">
        <v>48312</v>
      </c>
      <c r="J224" s="410">
        <f t="shared" si="9"/>
        <v>35007.618461538463</v>
      </c>
      <c r="K224" s="50"/>
    </row>
    <row r="225" spans="1:11" ht="19.5">
      <c r="A225" s="153"/>
      <c r="B225" s="93" t="s">
        <v>115</v>
      </c>
      <c r="C225" s="27"/>
      <c r="D225" s="32"/>
      <c r="E225" s="384"/>
      <c r="F225" s="373">
        <f t="shared" si="12"/>
        <v>0</v>
      </c>
      <c r="G225" s="461"/>
      <c r="H225" s="410">
        <f t="shared" si="11"/>
        <v>0</v>
      </c>
      <c r="I225" s="410"/>
      <c r="J225" s="410">
        <f t="shared" si="9"/>
        <v>0</v>
      </c>
      <c r="K225" s="50"/>
    </row>
    <row r="226" spans="1:11" ht="19.5">
      <c r="A226" s="153"/>
      <c r="B226" s="93"/>
      <c r="C226" s="27"/>
      <c r="D226" s="32"/>
      <c r="E226" s="384"/>
      <c r="F226" s="373">
        <f t="shared" si="12"/>
        <v>0</v>
      </c>
      <c r="G226" s="461"/>
      <c r="H226" s="410">
        <f t="shared" si="11"/>
        <v>0</v>
      </c>
      <c r="I226" s="410"/>
      <c r="J226" s="410">
        <f t="shared" si="9"/>
        <v>0</v>
      </c>
      <c r="K226" s="50"/>
    </row>
    <row r="227" spans="1:11" ht="19.5">
      <c r="A227" s="186"/>
      <c r="B227" s="97" t="s">
        <v>19</v>
      </c>
      <c r="C227" s="53"/>
      <c r="D227" s="204"/>
      <c r="E227" s="377"/>
      <c r="F227" s="373">
        <f t="shared" si="12"/>
        <v>0</v>
      </c>
      <c r="G227" s="461"/>
      <c r="H227" s="410">
        <f t="shared" si="11"/>
        <v>0</v>
      </c>
      <c r="I227" s="410"/>
      <c r="J227" s="410">
        <f t="shared" si="9"/>
        <v>0</v>
      </c>
      <c r="K227" s="50"/>
    </row>
    <row r="228" spans="1:11" ht="19.5">
      <c r="A228" s="186"/>
      <c r="B228" s="98" t="s">
        <v>20</v>
      </c>
      <c r="C228" s="53" t="s">
        <v>21</v>
      </c>
      <c r="D228" s="204">
        <f>D214/6</f>
        <v>5.08130081300813E-2</v>
      </c>
      <c r="E228" s="377">
        <v>18500</v>
      </c>
      <c r="F228" s="373">
        <f t="shared" si="12"/>
        <v>940.04065040650403</v>
      </c>
      <c r="G228" s="461">
        <v>50000</v>
      </c>
      <c r="H228" s="410">
        <f t="shared" si="11"/>
        <v>2540.6504065040649</v>
      </c>
      <c r="I228" s="410">
        <v>80000</v>
      </c>
      <c r="J228" s="410">
        <f t="shared" si="9"/>
        <v>4065.040650406504</v>
      </c>
      <c r="K228" s="50"/>
    </row>
    <row r="229" spans="1:11" ht="19.5">
      <c r="A229" s="186"/>
      <c r="B229" s="98" t="s">
        <v>22</v>
      </c>
      <c r="C229" s="53" t="s">
        <v>21</v>
      </c>
      <c r="D229" s="204">
        <f>D214/6</f>
        <v>5.08130081300813E-2</v>
      </c>
      <c r="E229" s="377">
        <v>16500</v>
      </c>
      <c r="F229" s="373">
        <f t="shared" si="12"/>
        <v>838.41463414634143</v>
      </c>
      <c r="G229" s="461">
        <v>50000</v>
      </c>
      <c r="H229" s="410">
        <f t="shared" si="11"/>
        <v>2540.6504065040649</v>
      </c>
      <c r="I229" s="410">
        <v>40000</v>
      </c>
      <c r="J229" s="410">
        <f t="shared" si="9"/>
        <v>2032.520325203252</v>
      </c>
      <c r="K229" s="50"/>
    </row>
    <row r="230" spans="1:11" ht="19.5">
      <c r="A230" s="187"/>
      <c r="B230" s="97" t="s">
        <v>112</v>
      </c>
      <c r="C230" s="54"/>
      <c r="D230" s="198"/>
      <c r="E230" s="384"/>
      <c r="F230" s="373">
        <f t="shared" si="12"/>
        <v>0</v>
      </c>
      <c r="G230" s="461"/>
      <c r="H230" s="410">
        <f t="shared" si="11"/>
        <v>0</v>
      </c>
      <c r="I230" s="410"/>
      <c r="J230" s="410">
        <f t="shared" si="9"/>
        <v>0</v>
      </c>
      <c r="K230" s="50"/>
    </row>
    <row r="231" spans="1:11" ht="19.5">
      <c r="A231" s="184"/>
      <c r="B231" s="94"/>
      <c r="C231" s="22"/>
      <c r="D231" s="200"/>
      <c r="E231" s="377"/>
      <c r="F231" s="373">
        <f t="shared" si="12"/>
        <v>0</v>
      </c>
      <c r="G231" s="461"/>
      <c r="H231" s="410">
        <f t="shared" si="11"/>
        <v>0</v>
      </c>
      <c r="I231" s="410"/>
      <c r="J231" s="410">
        <f t="shared" si="9"/>
        <v>0</v>
      </c>
      <c r="K231" s="50"/>
    </row>
    <row r="232" spans="1:11" ht="19.5">
      <c r="A232" s="184"/>
      <c r="B232" s="93" t="s">
        <v>6</v>
      </c>
      <c r="C232" s="22"/>
      <c r="D232" s="200"/>
      <c r="E232" s="377"/>
      <c r="F232" s="373">
        <f t="shared" si="12"/>
        <v>0</v>
      </c>
      <c r="G232" s="461"/>
      <c r="H232" s="410">
        <f t="shared" si="11"/>
        <v>0</v>
      </c>
      <c r="I232" s="410"/>
      <c r="J232" s="410">
        <f t="shared" si="9"/>
        <v>0</v>
      </c>
      <c r="K232" s="50"/>
    </row>
    <row r="233" spans="1:11" ht="19.5">
      <c r="A233" s="184"/>
      <c r="B233" s="94" t="s">
        <v>24</v>
      </c>
      <c r="C233" s="22" t="s">
        <v>21</v>
      </c>
      <c r="D233" s="24">
        <f>(D219/6)*2</f>
        <v>0.25</v>
      </c>
      <c r="E233" s="377">
        <v>12500</v>
      </c>
      <c r="F233" s="373">
        <f t="shared" si="12"/>
        <v>3125</v>
      </c>
      <c r="G233" s="461">
        <v>10000</v>
      </c>
      <c r="H233" s="410">
        <f t="shared" si="11"/>
        <v>2500</v>
      </c>
      <c r="I233" s="410">
        <v>44900</v>
      </c>
      <c r="J233" s="410">
        <f t="shared" si="9"/>
        <v>11225</v>
      </c>
      <c r="K233" s="50"/>
    </row>
    <row r="234" spans="1:11" ht="19.5">
      <c r="A234" s="184"/>
      <c r="B234" s="94" t="s">
        <v>25</v>
      </c>
      <c r="C234" s="22" t="s">
        <v>21</v>
      </c>
      <c r="D234" s="24">
        <f>(D219/6)*18</f>
        <v>2.25</v>
      </c>
      <c r="E234" s="377">
        <v>11500</v>
      </c>
      <c r="F234" s="373">
        <f t="shared" si="12"/>
        <v>25875</v>
      </c>
      <c r="G234" s="461">
        <v>5000</v>
      </c>
      <c r="H234" s="410">
        <f t="shared" si="11"/>
        <v>11250</v>
      </c>
      <c r="I234" s="410">
        <v>15400</v>
      </c>
      <c r="J234" s="410">
        <f t="shared" si="9"/>
        <v>34650</v>
      </c>
      <c r="K234" s="50"/>
    </row>
    <row r="235" spans="1:11" ht="19.5">
      <c r="A235" s="153"/>
      <c r="B235" s="93" t="s">
        <v>113</v>
      </c>
      <c r="C235" s="27"/>
      <c r="D235" s="32"/>
      <c r="E235" s="384"/>
      <c r="F235" s="373">
        <f t="shared" si="12"/>
        <v>0</v>
      </c>
      <c r="G235" s="461"/>
      <c r="H235" s="410">
        <f t="shared" si="11"/>
        <v>0</v>
      </c>
      <c r="I235" s="410"/>
      <c r="J235" s="410">
        <f t="shared" si="9"/>
        <v>0</v>
      </c>
      <c r="K235" s="50"/>
    </row>
    <row r="236" spans="1:11" ht="19.5">
      <c r="A236" s="184"/>
      <c r="B236" s="94"/>
      <c r="C236" s="22"/>
      <c r="D236" s="24"/>
      <c r="E236" s="377"/>
      <c r="F236" s="373">
        <f t="shared" si="12"/>
        <v>0</v>
      </c>
      <c r="G236" s="461"/>
      <c r="H236" s="410">
        <f t="shared" si="11"/>
        <v>0</v>
      </c>
      <c r="I236" s="410"/>
      <c r="J236" s="410">
        <f t="shared" si="9"/>
        <v>0</v>
      </c>
      <c r="K236" s="50"/>
    </row>
    <row r="237" spans="1:11" ht="19.5">
      <c r="A237" s="179">
        <v>12.01</v>
      </c>
      <c r="B237" s="2" t="s">
        <v>46</v>
      </c>
      <c r="C237" s="62" t="s">
        <v>47</v>
      </c>
      <c r="D237" s="191">
        <v>15</v>
      </c>
      <c r="E237" s="367">
        <v>6241.9761333333336</v>
      </c>
      <c r="F237" s="367">
        <f>SUBTOTAL(9,F238:F248)</f>
        <v>93629.642000000007</v>
      </c>
      <c r="G237" s="403"/>
      <c r="H237" s="367">
        <f>SUBTOTAL(9,H238:H248)</f>
        <v>83824.24000000002</v>
      </c>
      <c r="I237" s="403">
        <v>5343.7606666666679</v>
      </c>
      <c r="J237" s="403">
        <f t="shared" si="9"/>
        <v>80156.410000000018</v>
      </c>
      <c r="K237" s="50"/>
    </row>
    <row r="238" spans="1:11" ht="19.5">
      <c r="A238" s="181"/>
      <c r="B238" s="57" t="s">
        <v>2</v>
      </c>
      <c r="C238" s="42"/>
      <c r="D238" s="43"/>
      <c r="E238" s="373"/>
      <c r="F238" s="373"/>
      <c r="G238" s="461"/>
      <c r="H238" s="410">
        <f t="shared" si="11"/>
        <v>0</v>
      </c>
      <c r="I238" s="410"/>
      <c r="J238" s="410">
        <f t="shared" si="9"/>
        <v>0</v>
      </c>
      <c r="K238" s="50"/>
    </row>
    <row r="239" spans="1:11" ht="19.5">
      <c r="A239" s="181"/>
      <c r="B239" s="46" t="s">
        <v>11</v>
      </c>
      <c r="C239" s="42" t="s">
        <v>12</v>
      </c>
      <c r="D239" s="43">
        <f>D237*(1/6)*0.032*(1440/50)*1.54</f>
        <v>3.5481600000000006</v>
      </c>
      <c r="E239" s="373">
        <v>11200</v>
      </c>
      <c r="F239" s="373">
        <f t="shared" ref="F239:F240" si="13">D239*E239</f>
        <v>39739.392000000007</v>
      </c>
      <c r="G239" s="461">
        <v>14000</v>
      </c>
      <c r="H239" s="410">
        <f t="shared" si="11"/>
        <v>49674.240000000013</v>
      </c>
      <c r="I239" s="410">
        <v>13500</v>
      </c>
      <c r="J239" s="410">
        <f t="shared" si="9"/>
        <v>47900.160000000011</v>
      </c>
      <c r="K239" s="50"/>
    </row>
    <row r="240" spans="1:11" ht="19.5">
      <c r="A240" s="181"/>
      <c r="B240" s="46" t="s">
        <v>13</v>
      </c>
      <c r="C240" s="42" t="s">
        <v>10</v>
      </c>
      <c r="D240" s="43">
        <f>D237*(5/6)*0.032*1.54</f>
        <v>0.6160000000000001</v>
      </c>
      <c r="E240" s="373">
        <v>36500</v>
      </c>
      <c r="F240" s="373">
        <f t="shared" si="13"/>
        <v>22484.000000000004</v>
      </c>
      <c r="G240" s="461">
        <v>25000</v>
      </c>
      <c r="H240" s="410">
        <f t="shared" si="11"/>
        <v>15400.000000000002</v>
      </c>
      <c r="I240" s="410">
        <v>40000</v>
      </c>
      <c r="J240" s="410">
        <f t="shared" si="9"/>
        <v>24640.000000000004</v>
      </c>
      <c r="K240" s="50"/>
    </row>
    <row r="241" spans="1:11" ht="19.5">
      <c r="A241" s="153"/>
      <c r="B241" s="93" t="s">
        <v>5</v>
      </c>
      <c r="C241" s="27"/>
      <c r="D241" s="32"/>
      <c r="E241" s="384"/>
      <c r="F241" s="373">
        <f t="shared" si="10"/>
        <v>0</v>
      </c>
      <c r="G241" s="461"/>
      <c r="H241" s="410">
        <f t="shared" si="11"/>
        <v>0</v>
      </c>
      <c r="I241" s="410"/>
      <c r="J241" s="410">
        <f t="shared" si="9"/>
        <v>0</v>
      </c>
      <c r="K241" s="50"/>
    </row>
    <row r="242" spans="1:11" ht="19.5">
      <c r="A242" s="184"/>
      <c r="B242" s="94"/>
      <c r="C242" s="22"/>
      <c r="D242" s="24"/>
      <c r="E242" s="377"/>
      <c r="F242" s="373">
        <f t="shared" si="10"/>
        <v>0</v>
      </c>
      <c r="G242" s="461"/>
      <c r="H242" s="410">
        <f t="shared" si="11"/>
        <v>0</v>
      </c>
      <c r="I242" s="410"/>
      <c r="J242" s="410">
        <f t="shared" si="9"/>
        <v>0</v>
      </c>
      <c r="K242" s="50"/>
    </row>
    <row r="243" spans="1:11" ht="19.5">
      <c r="A243" s="184"/>
      <c r="B243" s="93" t="s">
        <v>6</v>
      </c>
      <c r="C243" s="22"/>
      <c r="D243" s="24"/>
      <c r="E243" s="377"/>
      <c r="F243" s="373">
        <f t="shared" si="10"/>
        <v>0</v>
      </c>
      <c r="G243" s="461"/>
      <c r="H243" s="410">
        <f t="shared" si="11"/>
        <v>0</v>
      </c>
      <c r="I243" s="410"/>
      <c r="J243" s="410">
        <f t="shared" si="9"/>
        <v>0</v>
      </c>
      <c r="K243" s="50"/>
    </row>
    <row r="244" spans="1:11" ht="19.5">
      <c r="A244" s="184"/>
      <c r="B244" s="94" t="s">
        <v>34</v>
      </c>
      <c r="C244" s="22" t="s">
        <v>8</v>
      </c>
      <c r="D244" s="24">
        <f>D237/16</f>
        <v>0.9375</v>
      </c>
      <c r="E244" s="377">
        <v>14500</v>
      </c>
      <c r="F244" s="373">
        <f t="shared" si="10"/>
        <v>13593.75</v>
      </c>
      <c r="G244" s="461">
        <v>10000</v>
      </c>
      <c r="H244" s="410">
        <f t="shared" si="11"/>
        <v>9375</v>
      </c>
      <c r="I244" s="410">
        <v>5908</v>
      </c>
      <c r="J244" s="410">
        <f t="shared" si="9"/>
        <v>5538.75</v>
      </c>
      <c r="K244" s="50"/>
    </row>
    <row r="245" spans="1:11" ht="19.5">
      <c r="A245" s="184"/>
      <c r="B245" s="94" t="s">
        <v>7</v>
      </c>
      <c r="C245" s="22" t="s">
        <v>8</v>
      </c>
      <c r="D245" s="24">
        <f>D244*2</f>
        <v>1.875</v>
      </c>
      <c r="E245" s="377">
        <v>9500</v>
      </c>
      <c r="F245" s="373">
        <f t="shared" si="10"/>
        <v>17812.5</v>
      </c>
      <c r="G245" s="461">
        <v>5000</v>
      </c>
      <c r="H245" s="410">
        <f t="shared" si="11"/>
        <v>9375</v>
      </c>
      <c r="I245" s="410">
        <v>1108</v>
      </c>
      <c r="J245" s="410">
        <f t="shared" si="9"/>
        <v>2077.5</v>
      </c>
      <c r="K245" s="50"/>
    </row>
    <row r="246" spans="1:11" ht="19.5">
      <c r="A246" s="153"/>
      <c r="B246" s="93" t="s">
        <v>9</v>
      </c>
      <c r="C246" s="27"/>
      <c r="D246" s="32"/>
      <c r="E246" s="381"/>
      <c r="F246" s="368">
        <f t="shared" si="10"/>
        <v>0</v>
      </c>
      <c r="G246" s="461"/>
      <c r="H246" s="400">
        <f t="shared" si="11"/>
        <v>0</v>
      </c>
      <c r="J246" s="400">
        <f t="shared" si="9"/>
        <v>0</v>
      </c>
    </row>
    <row r="247" spans="1:11" ht="19.5">
      <c r="A247" s="153"/>
      <c r="B247" s="93"/>
      <c r="C247" s="27"/>
      <c r="D247" s="32"/>
      <c r="E247" s="381"/>
      <c r="F247" s="368">
        <f t="shared" si="10"/>
        <v>0</v>
      </c>
      <c r="G247" s="461"/>
      <c r="H247" s="400">
        <f t="shared" si="11"/>
        <v>0</v>
      </c>
      <c r="J247" s="400">
        <f t="shared" si="9"/>
        <v>0</v>
      </c>
    </row>
    <row r="248" spans="1:11" ht="19.5">
      <c r="A248" s="153">
        <v>13</v>
      </c>
      <c r="B248" s="475" t="s">
        <v>48</v>
      </c>
      <c r="C248" s="475"/>
      <c r="D248" s="475"/>
      <c r="E248" s="376"/>
      <c r="F248" s="368">
        <f t="shared" si="10"/>
        <v>0</v>
      </c>
      <c r="G248" s="461"/>
      <c r="H248" s="400">
        <f t="shared" si="11"/>
        <v>0</v>
      </c>
      <c r="J248" s="400">
        <f t="shared" si="9"/>
        <v>0</v>
      </c>
    </row>
    <row r="249" spans="1:11" ht="19.5">
      <c r="A249" s="185">
        <v>13.01</v>
      </c>
      <c r="B249" s="15" t="s">
        <v>49</v>
      </c>
      <c r="C249" s="34" t="s">
        <v>50</v>
      </c>
      <c r="D249" s="201">
        <f>((5+3+3)*3)-(1.8)</f>
        <v>31.2</v>
      </c>
      <c r="E249" s="367">
        <v>4014.7472000000002</v>
      </c>
      <c r="F249" s="367">
        <f>SUBTOTAL(9,F250:F260)</f>
        <v>125260.11264000001</v>
      </c>
      <c r="G249" s="403"/>
      <c r="H249" s="367">
        <f>SUBTOTAL(9,H250:H260)</f>
        <v>166133.26079999999</v>
      </c>
      <c r="I249" s="403">
        <v>5999.9160000000011</v>
      </c>
      <c r="J249" s="403">
        <f t="shared" si="9"/>
        <v>187197.37920000002</v>
      </c>
    </row>
    <row r="250" spans="1:11" ht="19.5">
      <c r="A250" s="184"/>
      <c r="B250" s="57" t="s">
        <v>51</v>
      </c>
      <c r="C250" s="42"/>
      <c r="D250" s="44"/>
      <c r="E250" s="368"/>
      <c r="F250" s="368">
        <f t="shared" si="10"/>
        <v>0</v>
      </c>
      <c r="G250" s="461"/>
      <c r="H250" s="400">
        <f t="shared" si="11"/>
        <v>0</v>
      </c>
      <c r="J250" s="400">
        <f t="shared" si="9"/>
        <v>0</v>
      </c>
    </row>
    <row r="251" spans="1:11" ht="19.5">
      <c r="A251" s="183"/>
      <c r="B251" s="46" t="s">
        <v>52</v>
      </c>
      <c r="C251" s="42" t="s">
        <v>12</v>
      </c>
      <c r="D251" s="24">
        <f>D249*0.015*(1/5)*1.54*(1440/50)</f>
        <v>4.1513472</v>
      </c>
      <c r="E251" s="368">
        <v>11200</v>
      </c>
      <c r="F251" s="368">
        <f t="shared" si="10"/>
        <v>46495.088640000002</v>
      </c>
      <c r="G251" s="461">
        <v>14000</v>
      </c>
      <c r="H251" s="400">
        <f t="shared" si="11"/>
        <v>58118.860800000002</v>
      </c>
      <c r="I251" s="400">
        <v>11000</v>
      </c>
      <c r="J251" s="400">
        <f t="shared" si="9"/>
        <v>45664.819199999998</v>
      </c>
    </row>
    <row r="252" spans="1:11" s="86" customFormat="1" ht="19.5">
      <c r="A252" s="218"/>
      <c r="B252" s="46" t="s">
        <v>13</v>
      </c>
      <c r="C252" s="42" t="s">
        <v>28</v>
      </c>
      <c r="D252" s="24">
        <f>D249*0.015*1.54*(4/5)</f>
        <v>0.57657600000000009</v>
      </c>
      <c r="E252" s="368">
        <v>36500</v>
      </c>
      <c r="F252" s="368">
        <f t="shared" si="10"/>
        <v>21045.024000000005</v>
      </c>
      <c r="G252" s="462">
        <v>25000</v>
      </c>
      <c r="H252" s="400">
        <f t="shared" si="11"/>
        <v>14414.400000000001</v>
      </c>
      <c r="I252" s="409">
        <v>40000</v>
      </c>
      <c r="J252" s="400">
        <f t="shared" si="9"/>
        <v>23063.040000000005</v>
      </c>
    </row>
    <row r="253" spans="1:11" ht="19.5">
      <c r="A253" s="173"/>
      <c r="B253" s="57" t="s">
        <v>5</v>
      </c>
      <c r="C253" s="58"/>
      <c r="D253" s="32"/>
      <c r="E253" s="378"/>
      <c r="F253" s="368">
        <f t="shared" si="10"/>
        <v>0</v>
      </c>
      <c r="G253" s="461"/>
      <c r="H253" s="400">
        <f t="shared" si="11"/>
        <v>0</v>
      </c>
      <c r="J253" s="400">
        <f t="shared" si="9"/>
        <v>0</v>
      </c>
    </row>
    <row r="254" spans="1:11" ht="19.5">
      <c r="A254" s="218"/>
      <c r="B254" s="46"/>
      <c r="C254" s="42"/>
      <c r="D254" s="24"/>
      <c r="E254" s="368"/>
      <c r="F254" s="368">
        <f t="shared" si="10"/>
        <v>0</v>
      </c>
      <c r="G254" s="461"/>
      <c r="H254" s="400">
        <f t="shared" si="11"/>
        <v>0</v>
      </c>
      <c r="J254" s="400">
        <f t="shared" si="9"/>
        <v>0</v>
      </c>
    </row>
    <row r="255" spans="1:11" ht="19.5">
      <c r="A255" s="218"/>
      <c r="B255" s="57" t="s">
        <v>53</v>
      </c>
      <c r="C255" s="42"/>
      <c r="D255" s="44"/>
      <c r="E255" s="368"/>
      <c r="F255" s="368">
        <f t="shared" si="10"/>
        <v>0</v>
      </c>
      <c r="G255" s="461"/>
      <c r="H255" s="400">
        <f t="shared" si="11"/>
        <v>0</v>
      </c>
      <c r="J255" s="400">
        <f t="shared" si="9"/>
        <v>0</v>
      </c>
    </row>
    <row r="256" spans="1:11" ht="19.5">
      <c r="A256" s="218"/>
      <c r="B256" s="46" t="s">
        <v>34</v>
      </c>
      <c r="C256" s="42" t="s">
        <v>8</v>
      </c>
      <c r="D256" s="24">
        <f>D249/10</f>
        <v>3.12</v>
      </c>
      <c r="E256" s="368">
        <v>4500</v>
      </c>
      <c r="F256" s="368">
        <f t="shared" si="10"/>
        <v>14040</v>
      </c>
      <c r="G256" s="461">
        <v>10000</v>
      </c>
      <c r="H256" s="400">
        <f t="shared" si="11"/>
        <v>31200</v>
      </c>
      <c r="I256" s="400">
        <v>25315</v>
      </c>
      <c r="J256" s="400">
        <f t="shared" si="9"/>
        <v>78982.8</v>
      </c>
    </row>
    <row r="257" spans="1:10" ht="19.5">
      <c r="A257" s="218"/>
      <c r="B257" s="46" t="s">
        <v>7</v>
      </c>
      <c r="C257" s="42" t="s">
        <v>8</v>
      </c>
      <c r="D257" s="44">
        <f>D256*4</f>
        <v>12.48</v>
      </c>
      <c r="E257" s="368">
        <v>3500</v>
      </c>
      <c r="F257" s="368">
        <f t="shared" si="10"/>
        <v>43680</v>
      </c>
      <c r="G257" s="461">
        <v>5000</v>
      </c>
      <c r="H257" s="400">
        <f t="shared" si="11"/>
        <v>62400</v>
      </c>
      <c r="I257" s="400">
        <v>3164</v>
      </c>
      <c r="J257" s="400">
        <f t="shared" si="9"/>
        <v>39486.720000000001</v>
      </c>
    </row>
    <row r="258" spans="1:10" ht="19.5">
      <c r="A258" s="219"/>
      <c r="B258" s="93" t="s">
        <v>54</v>
      </c>
      <c r="C258" s="47"/>
      <c r="D258" s="48"/>
      <c r="E258" s="368"/>
      <c r="F258" s="368">
        <f t="shared" si="10"/>
        <v>0</v>
      </c>
      <c r="G258" s="461"/>
      <c r="H258" s="400">
        <f t="shared" si="11"/>
        <v>0</v>
      </c>
      <c r="J258" s="400">
        <f t="shared" si="9"/>
        <v>0</v>
      </c>
    </row>
    <row r="259" spans="1:10" ht="19.5">
      <c r="A259" s="180"/>
      <c r="B259" s="46"/>
      <c r="C259" s="42"/>
      <c r="D259" s="44"/>
      <c r="E259" s="368"/>
      <c r="F259" s="368">
        <f t="shared" si="10"/>
        <v>0</v>
      </c>
      <c r="G259" s="461"/>
      <c r="H259" s="400">
        <f t="shared" si="11"/>
        <v>0</v>
      </c>
      <c r="J259" s="400">
        <f t="shared" si="9"/>
        <v>0</v>
      </c>
    </row>
    <row r="260" spans="1:10" ht="19.5">
      <c r="A260" s="173">
        <v>14</v>
      </c>
      <c r="B260" s="100" t="s">
        <v>55</v>
      </c>
      <c r="C260" s="90"/>
      <c r="D260" s="212"/>
      <c r="E260" s="382"/>
      <c r="F260" s="368">
        <f t="shared" si="10"/>
        <v>0</v>
      </c>
      <c r="G260" s="461"/>
      <c r="H260" s="400">
        <f t="shared" si="11"/>
        <v>0</v>
      </c>
      <c r="J260" s="400">
        <f t="shared" si="9"/>
        <v>0</v>
      </c>
    </row>
    <row r="261" spans="1:10" ht="19.5">
      <c r="A261" s="220">
        <v>14.01</v>
      </c>
      <c r="B261" s="15" t="s">
        <v>49</v>
      </c>
      <c r="C261" s="34" t="s">
        <v>1</v>
      </c>
      <c r="D261" s="201">
        <f>D249</f>
        <v>31.2</v>
      </c>
      <c r="E261" s="367">
        <v>9345.3333333333339</v>
      </c>
      <c r="F261" s="367">
        <f>SUBTOTAL(9,F262:F277)</f>
        <v>291574.40000000002</v>
      </c>
      <c r="G261" s="403"/>
      <c r="H261" s="367">
        <f>SUBTOTAL(9,H262:H277)</f>
        <v>105658.8</v>
      </c>
      <c r="I261" s="403">
        <v>7000.0337499999996</v>
      </c>
      <c r="J261" s="403">
        <f t="shared" ref="J261:J324" si="14">D261*I261</f>
        <v>218401.05299999999</v>
      </c>
    </row>
    <row r="262" spans="1:10" ht="19.5">
      <c r="A262" s="180"/>
      <c r="B262" s="101"/>
      <c r="C262" s="17"/>
      <c r="D262" s="202"/>
      <c r="E262" s="373"/>
      <c r="F262" s="368">
        <f t="shared" si="10"/>
        <v>0</v>
      </c>
      <c r="H262" s="400">
        <f t="shared" si="11"/>
        <v>0</v>
      </c>
      <c r="J262" s="400">
        <f t="shared" si="14"/>
        <v>0</v>
      </c>
    </row>
    <row r="263" spans="1:10" ht="19.5">
      <c r="A263" s="180"/>
      <c r="B263" s="57" t="s">
        <v>2</v>
      </c>
      <c r="C263" s="42"/>
      <c r="D263" s="44"/>
      <c r="E263" s="368"/>
      <c r="F263" s="368">
        <f t="shared" si="10"/>
        <v>0</v>
      </c>
      <c r="H263" s="400">
        <f t="shared" si="11"/>
        <v>0</v>
      </c>
      <c r="J263" s="400">
        <f t="shared" si="14"/>
        <v>0</v>
      </c>
    </row>
    <row r="264" spans="1:10" s="86" customFormat="1" ht="19.5">
      <c r="A264" s="221"/>
      <c r="B264" s="46" t="s">
        <v>56</v>
      </c>
      <c r="C264" s="42" t="s">
        <v>57</v>
      </c>
      <c r="D264" s="44">
        <f>D261*0.07*3</f>
        <v>6.5520000000000005</v>
      </c>
      <c r="E264" s="368">
        <v>17551.89255189255</v>
      </c>
      <c r="F264" s="368">
        <f t="shared" ref="F264:F327" si="15">D264*E264</f>
        <v>115000</v>
      </c>
      <c r="G264" s="409">
        <v>7000</v>
      </c>
      <c r="H264" s="400">
        <f t="shared" ref="H264:H327" si="16">D264*G264</f>
        <v>45864</v>
      </c>
      <c r="I264" s="409">
        <v>4500</v>
      </c>
      <c r="J264" s="400">
        <f t="shared" si="14"/>
        <v>29484.000000000004</v>
      </c>
    </row>
    <row r="265" spans="1:10" ht="19.5">
      <c r="A265" s="218"/>
      <c r="B265" s="46" t="str">
        <f>'[1]Emulsion Paint'!$B$19</f>
        <v>Induit/undercoat ( 2 coats)</v>
      </c>
      <c r="C265" s="42" t="s">
        <v>57</v>
      </c>
      <c r="D265" s="44">
        <f>D261*0.07*2</f>
        <v>4.3680000000000003</v>
      </c>
      <c r="E265" s="368">
        <v>33195.970695970696</v>
      </c>
      <c r="F265" s="368">
        <f t="shared" si="15"/>
        <v>145000</v>
      </c>
      <c r="G265" s="400">
        <v>1500</v>
      </c>
      <c r="H265" s="400">
        <f t="shared" si="16"/>
        <v>6552.0000000000009</v>
      </c>
      <c r="I265" s="400">
        <v>1100</v>
      </c>
      <c r="J265" s="400">
        <f t="shared" si="14"/>
        <v>4804.8</v>
      </c>
    </row>
    <row r="266" spans="1:10" ht="19.5">
      <c r="A266" s="218"/>
      <c r="B266" s="46" t="str">
        <f>'[1]Emulsion Paint'!$B$24</f>
        <v>Roller</v>
      </c>
      <c r="C266" s="42" t="s">
        <v>44</v>
      </c>
      <c r="D266" s="24">
        <f>D261/100</f>
        <v>0.312</v>
      </c>
      <c r="E266" s="368">
        <v>1100</v>
      </c>
      <c r="F266" s="368">
        <f t="shared" si="15"/>
        <v>343.2</v>
      </c>
      <c r="G266" s="400">
        <v>1200</v>
      </c>
      <c r="H266" s="400">
        <f t="shared" si="16"/>
        <v>374.4</v>
      </c>
      <c r="I266" s="400">
        <v>2200</v>
      </c>
      <c r="J266" s="400">
        <f t="shared" si="14"/>
        <v>686.4</v>
      </c>
    </row>
    <row r="267" spans="1:10" ht="19.5">
      <c r="A267" s="218"/>
      <c r="B267" s="46" t="str">
        <f>'[1]Emulsion Paint'!$B$23</f>
        <v>Brush</v>
      </c>
      <c r="C267" s="42" t="s">
        <v>44</v>
      </c>
      <c r="D267" s="24">
        <f>D261/100</f>
        <v>0.312</v>
      </c>
      <c r="E267" s="368">
        <v>1100</v>
      </c>
      <c r="F267" s="368">
        <f t="shared" si="15"/>
        <v>343.2</v>
      </c>
      <c r="G267" s="400">
        <v>1200</v>
      </c>
      <c r="H267" s="400">
        <f t="shared" si="16"/>
        <v>374.4</v>
      </c>
      <c r="I267" s="400">
        <v>600</v>
      </c>
      <c r="J267" s="400">
        <f t="shared" si="14"/>
        <v>187.2</v>
      </c>
    </row>
    <row r="268" spans="1:10" ht="19.5">
      <c r="A268" s="218"/>
      <c r="B268" s="46" t="s">
        <v>58</v>
      </c>
      <c r="C268" s="42" t="s">
        <v>59</v>
      </c>
      <c r="D268" s="24">
        <f>D261/100</f>
        <v>0.312</v>
      </c>
      <c r="E268" s="368">
        <v>3500</v>
      </c>
      <c r="F268" s="368">
        <f t="shared" si="15"/>
        <v>1092</v>
      </c>
      <c r="G268" s="400">
        <v>2000</v>
      </c>
      <c r="H268" s="400">
        <f t="shared" si="16"/>
        <v>624</v>
      </c>
      <c r="I268" s="400">
        <v>3500</v>
      </c>
      <c r="J268" s="400">
        <f t="shared" si="14"/>
        <v>1092</v>
      </c>
    </row>
    <row r="269" spans="1:10" ht="19.5">
      <c r="A269" s="218"/>
      <c r="B269" s="46" t="s">
        <v>60</v>
      </c>
      <c r="C269" s="42" t="s">
        <v>44</v>
      </c>
      <c r="D269" s="24">
        <f>D261/50</f>
        <v>0.624</v>
      </c>
      <c r="E269" s="368">
        <v>3500</v>
      </c>
      <c r="F269" s="368">
        <f t="shared" si="15"/>
        <v>2184</v>
      </c>
      <c r="G269" s="400">
        <v>2000</v>
      </c>
      <c r="H269" s="400">
        <f t="shared" si="16"/>
        <v>1248</v>
      </c>
      <c r="I269" s="400">
        <v>1500</v>
      </c>
      <c r="J269" s="400">
        <f t="shared" si="14"/>
        <v>936</v>
      </c>
    </row>
    <row r="270" spans="1:10" ht="19.5">
      <c r="A270" s="173"/>
      <c r="B270" s="57" t="s">
        <v>61</v>
      </c>
      <c r="C270" s="58"/>
      <c r="D270" s="32"/>
      <c r="E270" s="378"/>
      <c r="F270" s="368">
        <f t="shared" si="15"/>
        <v>0</v>
      </c>
      <c r="H270" s="400">
        <f t="shared" si="16"/>
        <v>0</v>
      </c>
      <c r="J270" s="400">
        <f t="shared" si="14"/>
        <v>0</v>
      </c>
    </row>
    <row r="271" spans="1:10" ht="19.5">
      <c r="A271" s="218"/>
      <c r="B271" s="46"/>
      <c r="C271" s="42"/>
      <c r="D271" s="106"/>
      <c r="E271" s="368"/>
      <c r="F271" s="368">
        <f t="shared" si="15"/>
        <v>0</v>
      </c>
      <c r="H271" s="400">
        <f t="shared" si="16"/>
        <v>0</v>
      </c>
      <c r="J271" s="400">
        <f t="shared" si="14"/>
        <v>0</v>
      </c>
    </row>
    <row r="272" spans="1:10" ht="19.5">
      <c r="A272" s="218"/>
      <c r="B272" s="57" t="s">
        <v>6</v>
      </c>
      <c r="C272" s="42"/>
      <c r="D272" s="199"/>
      <c r="E272" s="368"/>
      <c r="F272" s="368">
        <f t="shared" si="15"/>
        <v>0</v>
      </c>
      <c r="H272" s="400">
        <f t="shared" si="16"/>
        <v>0</v>
      </c>
      <c r="J272" s="400">
        <f t="shared" si="14"/>
        <v>0</v>
      </c>
    </row>
    <row r="273" spans="1:10" ht="19.5">
      <c r="A273" s="218"/>
      <c r="B273" s="46" t="s">
        <v>7</v>
      </c>
      <c r="C273" s="42" t="s">
        <v>62</v>
      </c>
      <c r="D273" s="44">
        <f>D274</f>
        <v>2.3009999999999997</v>
      </c>
      <c r="E273" s="368">
        <v>5500</v>
      </c>
      <c r="F273" s="368">
        <f t="shared" si="15"/>
        <v>12655.499999999998</v>
      </c>
      <c r="G273" s="400">
        <v>10000</v>
      </c>
      <c r="H273" s="400">
        <f t="shared" si="16"/>
        <v>23009.999999999996</v>
      </c>
      <c r="I273" s="400">
        <v>19113</v>
      </c>
      <c r="J273" s="400">
        <f t="shared" si="14"/>
        <v>43979.012999999992</v>
      </c>
    </row>
    <row r="274" spans="1:10" ht="19.5">
      <c r="A274" s="218"/>
      <c r="B274" s="46" t="s">
        <v>63</v>
      </c>
      <c r="C274" s="42" t="s">
        <v>62</v>
      </c>
      <c r="D274" s="44">
        <f>D261*(0.59/8)</f>
        <v>2.3009999999999997</v>
      </c>
      <c r="E274" s="368">
        <v>6500</v>
      </c>
      <c r="F274" s="368">
        <f t="shared" si="15"/>
        <v>14956.499999999998</v>
      </c>
      <c r="G274" s="400">
        <v>12000</v>
      </c>
      <c r="H274" s="400">
        <f t="shared" si="16"/>
        <v>27611.999999999996</v>
      </c>
      <c r="I274" s="400">
        <v>59640</v>
      </c>
      <c r="J274" s="400">
        <f t="shared" si="14"/>
        <v>137231.63999999998</v>
      </c>
    </row>
    <row r="275" spans="1:10" ht="19.5">
      <c r="A275" s="153"/>
      <c r="B275" s="93" t="s">
        <v>9</v>
      </c>
      <c r="C275" s="27"/>
      <c r="D275" s="32"/>
      <c r="E275" s="381"/>
      <c r="F275" s="368">
        <f t="shared" si="15"/>
        <v>0</v>
      </c>
      <c r="H275" s="400">
        <f t="shared" si="16"/>
        <v>0</v>
      </c>
      <c r="J275" s="400">
        <f t="shared" si="14"/>
        <v>0</v>
      </c>
    </row>
    <row r="276" spans="1:10" ht="19.5">
      <c r="A276" s="222"/>
      <c r="B276" s="102"/>
      <c r="C276" s="45"/>
      <c r="D276" s="203"/>
      <c r="E276" s="383"/>
      <c r="F276" s="368">
        <f t="shared" si="15"/>
        <v>0</v>
      </c>
      <c r="H276" s="400">
        <f t="shared" si="16"/>
        <v>0</v>
      </c>
      <c r="J276" s="400">
        <f t="shared" si="14"/>
        <v>0</v>
      </c>
    </row>
    <row r="277" spans="1:10" ht="19.5">
      <c r="A277" s="153">
        <v>15</v>
      </c>
      <c r="B277" s="475" t="s">
        <v>123</v>
      </c>
      <c r="C277" s="475"/>
      <c r="D277" s="475"/>
      <c r="E277" s="376"/>
      <c r="F277" s="368">
        <f t="shared" si="15"/>
        <v>0</v>
      </c>
      <c r="H277" s="400">
        <f t="shared" si="16"/>
        <v>0</v>
      </c>
      <c r="J277" s="400">
        <f t="shared" si="14"/>
        <v>0</v>
      </c>
    </row>
    <row r="278" spans="1:10" ht="19.5">
      <c r="A278" s="185">
        <v>15.01</v>
      </c>
      <c r="B278" s="33" t="s">
        <v>64</v>
      </c>
      <c r="C278" s="34" t="s">
        <v>50</v>
      </c>
      <c r="D278" s="35">
        <f>((11*3)+((1.5*2)*8))-(1.8)</f>
        <v>55.2</v>
      </c>
      <c r="E278" s="367">
        <v>3636.377433333334</v>
      </c>
      <c r="F278" s="367">
        <f>SUBTOTAL(9,F279:F290)</f>
        <v>200728.03432000004</v>
      </c>
      <c r="G278" s="403"/>
      <c r="H278" s="367">
        <f>SUBTOTAL(9,H279:H290)</f>
        <v>331065.14640000003</v>
      </c>
      <c r="I278" s="403">
        <v>5999.9013333333342</v>
      </c>
      <c r="J278" s="403">
        <f t="shared" si="14"/>
        <v>331194.55360000004</v>
      </c>
    </row>
    <row r="279" spans="1:10" ht="19.5">
      <c r="A279" s="184"/>
      <c r="B279" s="57" t="s">
        <v>51</v>
      </c>
      <c r="C279" s="42"/>
      <c r="D279" s="44"/>
      <c r="E279" s="368"/>
      <c r="F279" s="368">
        <f t="shared" si="15"/>
        <v>0</v>
      </c>
      <c r="H279" s="400">
        <f t="shared" si="16"/>
        <v>0</v>
      </c>
      <c r="J279" s="400">
        <f t="shared" si="14"/>
        <v>0</v>
      </c>
    </row>
    <row r="280" spans="1:10" ht="19.5">
      <c r="A280" s="183"/>
      <c r="B280" s="46" t="s">
        <v>52</v>
      </c>
      <c r="C280" s="42" t="s">
        <v>12</v>
      </c>
      <c r="D280" s="24">
        <f>D278*0.01*(1/4)*1.54*(1440/50)+(D278*0.003*(1/6)*1.57*(1440/50))</f>
        <v>7.3685376000000007</v>
      </c>
      <c r="E280" s="368">
        <v>11200</v>
      </c>
      <c r="F280" s="368">
        <f t="shared" si="15"/>
        <v>82527.621120000011</v>
      </c>
      <c r="G280" s="400">
        <v>14000</v>
      </c>
      <c r="H280" s="400">
        <f t="shared" si="16"/>
        <v>103159.5264</v>
      </c>
      <c r="I280" s="400">
        <v>11000</v>
      </c>
      <c r="J280" s="400">
        <f t="shared" si="14"/>
        <v>81053.913600000014</v>
      </c>
    </row>
    <row r="281" spans="1:10" s="86" customFormat="1" ht="19.5">
      <c r="A281" s="218"/>
      <c r="B281" s="46" t="s">
        <v>13</v>
      </c>
      <c r="C281" s="42" t="s">
        <v>28</v>
      </c>
      <c r="D281" s="24">
        <f>D278*0.01*1.5*1.54*(3/4)</f>
        <v>0.95633999999999997</v>
      </c>
      <c r="E281" s="368">
        <v>36500</v>
      </c>
      <c r="F281" s="368">
        <f t="shared" si="15"/>
        <v>34906.409999999996</v>
      </c>
      <c r="G281" s="409">
        <v>25000</v>
      </c>
      <c r="H281" s="400">
        <f t="shared" si="16"/>
        <v>23908.5</v>
      </c>
      <c r="I281" s="409">
        <v>40000</v>
      </c>
      <c r="J281" s="400">
        <f t="shared" si="14"/>
        <v>38253.599999999999</v>
      </c>
    </row>
    <row r="282" spans="1:10" ht="19.5">
      <c r="A282" s="218"/>
      <c r="B282" s="46" t="s">
        <v>65</v>
      </c>
      <c r="C282" s="42" t="s">
        <v>31</v>
      </c>
      <c r="D282" s="24">
        <f>D278*0.003*(5/6)*1.57*(1440/50)</f>
        <v>6.2398080000000027</v>
      </c>
      <c r="E282" s="368">
        <v>10400</v>
      </c>
      <c r="F282" s="368">
        <f t="shared" si="15"/>
        <v>64894.003200000028</v>
      </c>
      <c r="G282" s="400">
        <v>15000</v>
      </c>
      <c r="H282" s="400">
        <f t="shared" si="16"/>
        <v>93597.120000000039</v>
      </c>
      <c r="I282" s="400">
        <v>10000</v>
      </c>
      <c r="J282" s="400">
        <f t="shared" si="14"/>
        <v>62398.080000000024</v>
      </c>
    </row>
    <row r="283" spans="1:10" ht="19.5">
      <c r="A283" s="173"/>
      <c r="B283" s="57" t="s">
        <v>5</v>
      </c>
      <c r="C283" s="58"/>
      <c r="D283" s="32"/>
      <c r="E283" s="378"/>
      <c r="F283" s="368">
        <f t="shared" si="15"/>
        <v>0</v>
      </c>
      <c r="H283" s="400">
        <f t="shared" si="16"/>
        <v>0</v>
      </c>
      <c r="J283" s="400">
        <f t="shared" si="14"/>
        <v>0</v>
      </c>
    </row>
    <row r="284" spans="1:10" ht="19.5">
      <c r="A284" s="218"/>
      <c r="B284" s="46"/>
      <c r="C284" s="42"/>
      <c r="D284" s="24"/>
      <c r="E284" s="368"/>
      <c r="F284" s="368">
        <f t="shared" si="15"/>
        <v>0</v>
      </c>
      <c r="H284" s="400">
        <f t="shared" si="16"/>
        <v>0</v>
      </c>
      <c r="J284" s="400">
        <f t="shared" si="14"/>
        <v>0</v>
      </c>
    </row>
    <row r="285" spans="1:10" ht="19.5">
      <c r="A285" s="88"/>
      <c r="B285" s="57" t="s">
        <v>53</v>
      </c>
      <c r="C285" s="42"/>
      <c r="D285" s="44"/>
      <c r="E285" s="368"/>
      <c r="F285" s="368">
        <f t="shared" si="15"/>
        <v>0</v>
      </c>
      <c r="H285" s="400">
        <f t="shared" si="16"/>
        <v>0</v>
      </c>
      <c r="J285" s="400">
        <f t="shared" si="14"/>
        <v>0</v>
      </c>
    </row>
    <row r="286" spans="1:10" ht="19.5">
      <c r="A286" s="88"/>
      <c r="B286" s="46" t="s">
        <v>34</v>
      </c>
      <c r="C286" s="42" t="s">
        <v>8</v>
      </c>
      <c r="D286" s="24">
        <f>D278/15</f>
        <v>3.68</v>
      </c>
      <c r="E286" s="368">
        <v>1800</v>
      </c>
      <c r="F286" s="368">
        <f t="shared" si="15"/>
        <v>6624</v>
      </c>
      <c r="G286" s="400">
        <v>10000</v>
      </c>
      <c r="H286" s="400">
        <f t="shared" si="16"/>
        <v>36800</v>
      </c>
      <c r="I286" s="400">
        <v>27082</v>
      </c>
      <c r="J286" s="400">
        <f t="shared" si="14"/>
        <v>99661.760000000009</v>
      </c>
    </row>
    <row r="287" spans="1:10" ht="19.5">
      <c r="A287" s="88"/>
      <c r="B287" s="46" t="s">
        <v>7</v>
      </c>
      <c r="C287" s="42" t="s">
        <v>8</v>
      </c>
      <c r="D287" s="44">
        <f>D286*4</f>
        <v>14.72</v>
      </c>
      <c r="E287" s="368">
        <v>800</v>
      </c>
      <c r="F287" s="368">
        <f t="shared" si="15"/>
        <v>11776</v>
      </c>
      <c r="G287" s="400">
        <v>5000</v>
      </c>
      <c r="H287" s="400">
        <f t="shared" si="16"/>
        <v>73600</v>
      </c>
      <c r="I287" s="400">
        <v>3385</v>
      </c>
      <c r="J287" s="400">
        <f t="shared" si="14"/>
        <v>49827.200000000004</v>
      </c>
    </row>
    <row r="288" spans="1:10" ht="19.5">
      <c r="A288" s="89"/>
      <c r="B288" s="93" t="s">
        <v>54</v>
      </c>
      <c r="C288" s="58"/>
      <c r="D288" s="59"/>
      <c r="E288" s="378"/>
      <c r="F288" s="368">
        <f t="shared" si="15"/>
        <v>0</v>
      </c>
      <c r="H288" s="400">
        <f t="shared" si="16"/>
        <v>0</v>
      </c>
      <c r="J288" s="400">
        <f t="shared" si="14"/>
        <v>0</v>
      </c>
    </row>
    <row r="289" spans="1:10" ht="19.5">
      <c r="A289" s="87"/>
      <c r="B289" s="94"/>
      <c r="C289" s="22"/>
      <c r="D289" s="24"/>
      <c r="E289" s="374"/>
      <c r="F289" s="368">
        <f t="shared" si="15"/>
        <v>0</v>
      </c>
      <c r="H289" s="400">
        <f t="shared" si="16"/>
        <v>0</v>
      </c>
      <c r="J289" s="400">
        <f t="shared" si="14"/>
        <v>0</v>
      </c>
    </row>
    <row r="290" spans="1:10" ht="19.7" customHeight="1">
      <c r="A290" s="80">
        <v>16</v>
      </c>
      <c r="B290" s="475" t="s">
        <v>141</v>
      </c>
      <c r="C290" s="475"/>
      <c r="D290" s="475"/>
      <c r="E290" s="376"/>
      <c r="F290" s="368">
        <f t="shared" si="15"/>
        <v>0</v>
      </c>
      <c r="H290" s="400">
        <f t="shared" si="16"/>
        <v>0</v>
      </c>
      <c r="J290" s="400">
        <f t="shared" si="14"/>
        <v>0</v>
      </c>
    </row>
    <row r="291" spans="1:10" ht="19.5">
      <c r="A291" s="188">
        <v>16.010000000000002</v>
      </c>
      <c r="B291" s="15" t="s">
        <v>66</v>
      </c>
      <c r="C291" s="34" t="s">
        <v>1</v>
      </c>
      <c r="D291" s="131">
        <f>D278+D249</f>
        <v>86.4</v>
      </c>
      <c r="E291" s="367">
        <v>4614.2482193732185</v>
      </c>
      <c r="F291" s="367">
        <f>SUBTOTAL(9,F292:F308)</f>
        <v>398671.04615384614</v>
      </c>
      <c r="G291" s="403"/>
      <c r="H291" s="367">
        <f>SUBTOTAL(9,H292:H308)</f>
        <v>724834.52307692321</v>
      </c>
      <c r="I291" s="403">
        <v>6999.9961442307695</v>
      </c>
      <c r="J291" s="403">
        <f t="shared" si="14"/>
        <v>604799.66686153854</v>
      </c>
    </row>
    <row r="292" spans="1:10" ht="18.75" customHeight="1">
      <c r="A292" s="87"/>
      <c r="B292" s="57" t="s">
        <v>2</v>
      </c>
      <c r="C292" s="42"/>
      <c r="D292" s="128"/>
      <c r="E292" s="368"/>
      <c r="F292" s="368">
        <f t="shared" si="15"/>
        <v>0</v>
      </c>
      <c r="H292" s="400">
        <f t="shared" si="16"/>
        <v>0</v>
      </c>
      <c r="J292" s="400">
        <f t="shared" si="14"/>
        <v>0</v>
      </c>
    </row>
    <row r="293" spans="1:10" ht="19.5">
      <c r="A293" s="87"/>
      <c r="B293" s="46" t="str">
        <f>'[1]Emulsion Paint'!$B$22</f>
        <v>Emulsion paint ( 3 coats)</v>
      </c>
      <c r="C293" s="42" t="s">
        <v>57</v>
      </c>
      <c r="D293" s="128">
        <f>D291*0.07*3</f>
        <v>18.144000000000002</v>
      </c>
      <c r="E293" s="368">
        <v>4133.5978835978831</v>
      </c>
      <c r="F293" s="368">
        <f t="shared" si="15"/>
        <v>75000</v>
      </c>
      <c r="G293" s="400">
        <v>2000</v>
      </c>
      <c r="H293" s="400">
        <f t="shared" si="16"/>
        <v>36288.000000000007</v>
      </c>
      <c r="I293" s="400">
        <v>4000</v>
      </c>
      <c r="J293" s="400">
        <f t="shared" si="14"/>
        <v>72576.000000000015</v>
      </c>
    </row>
    <row r="294" spans="1:10" ht="19.5">
      <c r="A294" s="210"/>
      <c r="B294" s="46" t="str">
        <f>'[1]Emulsion Paint'!$B$20</f>
        <v>Whiting/stucco ( 2 coats)</v>
      </c>
      <c r="C294" s="42" t="s">
        <v>67</v>
      </c>
      <c r="D294" s="128">
        <f>D291*((50*2)/65)*2</f>
        <v>265.84615384615387</v>
      </c>
      <c r="E294" s="368">
        <v>545.42824074074065</v>
      </c>
      <c r="F294" s="368">
        <f t="shared" si="15"/>
        <v>145000</v>
      </c>
      <c r="G294" s="400">
        <v>1500</v>
      </c>
      <c r="H294" s="400">
        <f t="shared" si="16"/>
        <v>398769.23076923081</v>
      </c>
      <c r="I294" s="400">
        <v>640</v>
      </c>
      <c r="J294" s="400">
        <f t="shared" si="14"/>
        <v>170141.53846153847</v>
      </c>
    </row>
    <row r="295" spans="1:10" ht="19.5">
      <c r="A295" s="88"/>
      <c r="B295" s="46" t="str">
        <f>'[1]Emulsion Paint'!$B$19</f>
        <v>Induit/undercoat ( 2 coats)</v>
      </c>
      <c r="C295" s="42" t="s">
        <v>57</v>
      </c>
      <c r="D295" s="128">
        <f>D291*0.07*2</f>
        <v>12.096000000000002</v>
      </c>
      <c r="E295" s="368">
        <v>1100</v>
      </c>
      <c r="F295" s="368">
        <f t="shared" si="15"/>
        <v>13305.600000000002</v>
      </c>
      <c r="G295" s="400">
        <v>1500</v>
      </c>
      <c r="H295" s="400">
        <f t="shared" si="16"/>
        <v>18144.000000000004</v>
      </c>
      <c r="I295" s="400">
        <v>700</v>
      </c>
      <c r="J295" s="400">
        <f t="shared" si="14"/>
        <v>8467.2000000000007</v>
      </c>
    </row>
    <row r="296" spans="1:10" ht="19.5">
      <c r="A296" s="88"/>
      <c r="B296" s="46" t="s">
        <v>68</v>
      </c>
      <c r="C296" s="42" t="s">
        <v>57</v>
      </c>
      <c r="D296" s="128">
        <f>D291*((30/65)*2)</f>
        <v>79.753846153846169</v>
      </c>
      <c r="E296" s="368">
        <v>1100</v>
      </c>
      <c r="F296" s="368">
        <f t="shared" si="15"/>
        <v>87729.23076923078</v>
      </c>
      <c r="G296" s="400">
        <v>1500</v>
      </c>
      <c r="H296" s="400">
        <f t="shared" si="16"/>
        <v>119630.76923076925</v>
      </c>
      <c r="I296" s="400">
        <v>700</v>
      </c>
      <c r="J296" s="400">
        <f t="shared" si="14"/>
        <v>55827.692307692319</v>
      </c>
    </row>
    <row r="297" spans="1:10" ht="19.5">
      <c r="A297" s="88"/>
      <c r="B297" s="46" t="str">
        <f>'[1]Emulsion Paint'!$B$21</f>
        <v>Colle</v>
      </c>
      <c r="C297" s="42" t="s">
        <v>69</v>
      </c>
      <c r="D297" s="128">
        <f>D291*((1/65)*2)</f>
        <v>2.6584615384615389</v>
      </c>
      <c r="E297" s="368">
        <v>3500</v>
      </c>
      <c r="F297" s="368">
        <f t="shared" si="15"/>
        <v>9304.6153846153866</v>
      </c>
      <c r="G297" s="400">
        <v>15000</v>
      </c>
      <c r="H297" s="400">
        <f t="shared" si="16"/>
        <v>39876.923076923085</v>
      </c>
      <c r="I297" s="400">
        <v>18000</v>
      </c>
      <c r="J297" s="400">
        <f t="shared" si="14"/>
        <v>47852.307692307702</v>
      </c>
    </row>
    <row r="298" spans="1:10" ht="19.5">
      <c r="A298" s="88"/>
      <c r="B298" s="46" t="str">
        <f>'[1]Emulsion Paint'!$B$24</f>
        <v>Roller</v>
      </c>
      <c r="C298" s="42" t="s">
        <v>44</v>
      </c>
      <c r="D298" s="113">
        <f>D291/100</f>
        <v>0.8640000000000001</v>
      </c>
      <c r="E298" s="368">
        <v>3500</v>
      </c>
      <c r="F298" s="368">
        <f t="shared" si="15"/>
        <v>3024.0000000000005</v>
      </c>
      <c r="G298" s="400">
        <v>1200</v>
      </c>
      <c r="H298" s="400">
        <f t="shared" si="16"/>
        <v>1036.8000000000002</v>
      </c>
      <c r="I298" s="400">
        <v>2200</v>
      </c>
      <c r="J298" s="400">
        <f t="shared" si="14"/>
        <v>1900.8000000000002</v>
      </c>
    </row>
    <row r="299" spans="1:10" ht="19.5">
      <c r="A299" s="88"/>
      <c r="B299" s="46" t="str">
        <f>'[1]Emulsion Paint'!$B$23</f>
        <v>Brush</v>
      </c>
      <c r="C299" s="42" t="s">
        <v>44</v>
      </c>
      <c r="D299" s="113">
        <f>D291/100</f>
        <v>0.8640000000000001</v>
      </c>
      <c r="E299" s="368">
        <v>3500</v>
      </c>
      <c r="F299" s="368">
        <f t="shared" si="15"/>
        <v>3024.0000000000005</v>
      </c>
      <c r="G299" s="400">
        <v>1200</v>
      </c>
      <c r="H299" s="400">
        <f t="shared" si="16"/>
        <v>1036.8000000000002</v>
      </c>
      <c r="I299" s="400">
        <v>600</v>
      </c>
      <c r="J299" s="400">
        <f t="shared" si="14"/>
        <v>518.40000000000009</v>
      </c>
    </row>
    <row r="300" spans="1:10" ht="19.5">
      <c r="A300" s="88"/>
      <c r="B300" s="46" t="s">
        <v>58</v>
      </c>
      <c r="C300" s="42" t="s">
        <v>59</v>
      </c>
      <c r="D300" s="113">
        <f>D291/100</f>
        <v>0.8640000000000001</v>
      </c>
      <c r="E300" s="368">
        <v>3500</v>
      </c>
      <c r="F300" s="368">
        <f t="shared" si="15"/>
        <v>3024.0000000000005</v>
      </c>
      <c r="G300" s="400">
        <v>2000</v>
      </c>
      <c r="H300" s="400">
        <f t="shared" si="16"/>
        <v>1728.0000000000002</v>
      </c>
      <c r="I300" s="400">
        <v>3500</v>
      </c>
      <c r="J300" s="400">
        <f t="shared" si="14"/>
        <v>3024.0000000000005</v>
      </c>
    </row>
    <row r="301" spans="1:10" ht="19.5">
      <c r="A301" s="89"/>
      <c r="B301" s="57" t="s">
        <v>5</v>
      </c>
      <c r="C301" s="58"/>
      <c r="D301" s="116"/>
      <c r="E301" s="378"/>
      <c r="F301" s="368">
        <f t="shared" si="15"/>
        <v>0</v>
      </c>
      <c r="H301" s="400">
        <f t="shared" si="16"/>
        <v>0</v>
      </c>
      <c r="J301" s="400">
        <f t="shared" si="14"/>
        <v>0</v>
      </c>
    </row>
    <row r="302" spans="1:10" ht="19.5">
      <c r="A302" s="88"/>
      <c r="B302" s="46"/>
      <c r="C302" s="42"/>
      <c r="D302" s="113"/>
      <c r="E302" s="368"/>
      <c r="F302" s="368">
        <f t="shared" si="15"/>
        <v>0</v>
      </c>
      <c r="H302" s="400">
        <f t="shared" si="16"/>
        <v>0</v>
      </c>
      <c r="J302" s="400">
        <f t="shared" si="14"/>
        <v>0</v>
      </c>
    </row>
    <row r="303" spans="1:10" ht="19.5">
      <c r="A303" s="88"/>
      <c r="B303" s="57" t="s">
        <v>6</v>
      </c>
      <c r="C303" s="42"/>
      <c r="D303" s="128"/>
      <c r="E303" s="368"/>
      <c r="F303" s="368">
        <f t="shared" si="15"/>
        <v>0</v>
      </c>
      <c r="H303" s="400">
        <f t="shared" si="16"/>
        <v>0</v>
      </c>
      <c r="J303" s="400">
        <f t="shared" si="14"/>
        <v>0</v>
      </c>
    </row>
    <row r="304" spans="1:10" ht="19.5">
      <c r="A304" s="88"/>
      <c r="B304" s="46" t="s">
        <v>7</v>
      </c>
      <c r="C304" s="42" t="s">
        <v>62</v>
      </c>
      <c r="D304" s="128">
        <f>D305</f>
        <v>6.3719999999999999</v>
      </c>
      <c r="E304" s="368">
        <v>4500</v>
      </c>
      <c r="F304" s="368">
        <f t="shared" si="15"/>
        <v>28674</v>
      </c>
      <c r="G304" s="400">
        <v>5000</v>
      </c>
      <c r="H304" s="400">
        <f t="shared" si="16"/>
        <v>31860</v>
      </c>
      <c r="I304" s="400">
        <v>12869.7</v>
      </c>
      <c r="J304" s="400">
        <f t="shared" si="14"/>
        <v>82005.728400000007</v>
      </c>
    </row>
    <row r="305" spans="1:10" ht="19.5">
      <c r="A305" s="88"/>
      <c r="B305" s="46" t="s">
        <v>70</v>
      </c>
      <c r="C305" s="42" t="s">
        <v>62</v>
      </c>
      <c r="D305" s="128">
        <f>D291*(0.59/8)</f>
        <v>6.3719999999999999</v>
      </c>
      <c r="E305" s="368">
        <v>4800</v>
      </c>
      <c r="F305" s="368">
        <f t="shared" si="15"/>
        <v>30585.599999999999</v>
      </c>
      <c r="G305" s="400">
        <v>12000</v>
      </c>
      <c r="H305" s="400">
        <f t="shared" si="16"/>
        <v>76464</v>
      </c>
      <c r="I305" s="400">
        <v>25500</v>
      </c>
      <c r="J305" s="400">
        <f t="shared" si="14"/>
        <v>162486</v>
      </c>
    </row>
    <row r="306" spans="1:10" ht="19.5">
      <c r="A306" s="89"/>
      <c r="B306" s="57" t="s">
        <v>54</v>
      </c>
      <c r="C306" s="58"/>
      <c r="D306" s="129"/>
      <c r="E306" s="378"/>
      <c r="F306" s="368">
        <f t="shared" si="15"/>
        <v>0</v>
      </c>
      <c r="H306" s="400">
        <f t="shared" si="16"/>
        <v>0</v>
      </c>
      <c r="J306" s="400">
        <f t="shared" si="14"/>
        <v>0</v>
      </c>
    </row>
    <row r="307" spans="1:10" ht="19.5">
      <c r="A307" s="89"/>
      <c r="B307" s="57"/>
      <c r="C307" s="58"/>
      <c r="D307" s="129"/>
      <c r="E307" s="378"/>
      <c r="F307" s="368">
        <f t="shared" si="15"/>
        <v>0</v>
      </c>
      <c r="H307" s="400">
        <f t="shared" si="16"/>
        <v>0</v>
      </c>
      <c r="J307" s="400">
        <f t="shared" si="14"/>
        <v>0</v>
      </c>
    </row>
    <row r="308" spans="1:10" ht="37.5" customHeight="1">
      <c r="A308" s="262">
        <v>17</v>
      </c>
      <c r="B308" s="471" t="s">
        <v>131</v>
      </c>
      <c r="C308" s="471"/>
      <c r="D308" s="471"/>
      <c r="E308" s="411"/>
      <c r="F308" s="368">
        <f t="shared" si="15"/>
        <v>0</v>
      </c>
      <c r="H308" s="400">
        <f t="shared" si="16"/>
        <v>0</v>
      </c>
      <c r="J308" s="400">
        <f t="shared" si="14"/>
        <v>0</v>
      </c>
    </row>
    <row r="309" spans="1:10" ht="19.5">
      <c r="A309" s="1">
        <v>17.010000000000002</v>
      </c>
      <c r="B309" s="2" t="s">
        <v>170</v>
      </c>
      <c r="C309" s="247" t="s">
        <v>129</v>
      </c>
      <c r="D309" s="245">
        <v>1</v>
      </c>
      <c r="E309" s="371">
        <v>12600.000000000002</v>
      </c>
      <c r="F309" s="367">
        <f>SUBTOTAL(9,F310:F319)</f>
        <v>12600.000000000002</v>
      </c>
      <c r="G309" s="403"/>
      <c r="H309" s="367">
        <f>SUBTOTAL(9,H310:H319)</f>
        <v>130000</v>
      </c>
      <c r="I309" s="403">
        <v>228000</v>
      </c>
      <c r="J309" s="403">
        <f t="shared" si="14"/>
        <v>228000</v>
      </c>
    </row>
    <row r="310" spans="1:10" ht="19.5">
      <c r="A310" s="208"/>
      <c r="B310" s="7" t="s">
        <v>29</v>
      </c>
      <c r="C310" s="8"/>
      <c r="D310" s="128"/>
      <c r="E310" s="368"/>
      <c r="F310" s="368">
        <f t="shared" si="15"/>
        <v>0</v>
      </c>
      <c r="H310" s="400">
        <f t="shared" si="16"/>
        <v>0</v>
      </c>
      <c r="J310" s="400">
        <f t="shared" si="14"/>
        <v>0</v>
      </c>
    </row>
    <row r="311" spans="1:10" ht="19.5">
      <c r="A311" s="82"/>
      <c r="B311" s="12" t="s">
        <v>143</v>
      </c>
      <c r="C311" s="8" t="s">
        <v>144</v>
      </c>
      <c r="D311" s="128">
        <v>1</v>
      </c>
      <c r="E311" s="368">
        <v>6300.0000000000009</v>
      </c>
      <c r="F311" s="368">
        <f t="shared" si="15"/>
        <v>6300.0000000000009</v>
      </c>
      <c r="G311" s="400">
        <v>100000</v>
      </c>
      <c r="H311" s="400">
        <f t="shared" si="16"/>
        <v>100000</v>
      </c>
      <c r="I311" s="400">
        <v>198000</v>
      </c>
      <c r="J311" s="400">
        <f t="shared" si="14"/>
        <v>198000</v>
      </c>
    </row>
    <row r="312" spans="1:10" ht="19.5">
      <c r="A312" s="83"/>
      <c r="B312" s="7" t="s">
        <v>5</v>
      </c>
      <c r="C312" s="11"/>
      <c r="D312" s="129"/>
      <c r="E312" s="378"/>
      <c r="F312" s="368">
        <f t="shared" si="15"/>
        <v>0</v>
      </c>
      <c r="H312" s="400">
        <f t="shared" si="16"/>
        <v>0</v>
      </c>
      <c r="J312" s="400">
        <f t="shared" si="14"/>
        <v>0</v>
      </c>
    </row>
    <row r="313" spans="1:10" ht="19.5">
      <c r="A313" s="82"/>
      <c r="B313" s="12"/>
      <c r="C313" s="8"/>
      <c r="D313" s="128"/>
      <c r="E313" s="368"/>
      <c r="F313" s="368">
        <f t="shared" si="15"/>
        <v>0</v>
      </c>
      <c r="H313" s="400">
        <f t="shared" si="16"/>
        <v>0</v>
      </c>
      <c r="J313" s="400">
        <f t="shared" si="14"/>
        <v>0</v>
      </c>
    </row>
    <row r="314" spans="1:10" ht="19.5">
      <c r="A314" s="209"/>
      <c r="B314" s="7" t="s">
        <v>33</v>
      </c>
      <c r="C314" s="8"/>
      <c r="D314" s="128"/>
      <c r="E314" s="368"/>
      <c r="F314" s="368">
        <f t="shared" si="15"/>
        <v>0</v>
      </c>
      <c r="H314" s="400">
        <f t="shared" si="16"/>
        <v>0</v>
      </c>
      <c r="J314" s="400">
        <f t="shared" si="14"/>
        <v>0</v>
      </c>
    </row>
    <row r="315" spans="1:10" ht="19.5">
      <c r="A315" s="82"/>
      <c r="B315" s="12" t="s">
        <v>34</v>
      </c>
      <c r="C315" s="8" t="s">
        <v>21</v>
      </c>
      <c r="D315" s="113">
        <f>D309/1</f>
        <v>1</v>
      </c>
      <c r="E315" s="368">
        <v>1575.0000000000002</v>
      </c>
      <c r="F315" s="368">
        <f t="shared" si="15"/>
        <v>1575.0000000000002</v>
      </c>
      <c r="G315" s="400">
        <v>10000</v>
      </c>
      <c r="H315" s="400">
        <f t="shared" si="16"/>
        <v>10000</v>
      </c>
      <c r="I315" s="400">
        <v>24000</v>
      </c>
      <c r="J315" s="400">
        <f t="shared" si="14"/>
        <v>24000</v>
      </c>
    </row>
    <row r="316" spans="1:10" ht="19.5">
      <c r="A316" s="82"/>
      <c r="B316" s="12" t="s">
        <v>7</v>
      </c>
      <c r="C316" s="8" t="s">
        <v>21</v>
      </c>
      <c r="D316" s="113">
        <f>+D315*4</f>
        <v>4</v>
      </c>
      <c r="E316" s="368">
        <v>1181.2500000000002</v>
      </c>
      <c r="F316" s="368">
        <f t="shared" si="15"/>
        <v>4725.0000000000009</v>
      </c>
      <c r="G316" s="400">
        <v>5000</v>
      </c>
      <c r="H316" s="400">
        <f t="shared" si="16"/>
        <v>20000</v>
      </c>
      <c r="I316" s="400">
        <v>1500</v>
      </c>
      <c r="J316" s="400">
        <f t="shared" si="14"/>
        <v>6000</v>
      </c>
    </row>
    <row r="317" spans="1:10" ht="19.5">
      <c r="A317" s="83"/>
      <c r="B317" s="7" t="s">
        <v>39</v>
      </c>
      <c r="C317" s="11"/>
      <c r="D317" s="129"/>
      <c r="E317" s="378"/>
      <c r="F317" s="368">
        <f t="shared" si="15"/>
        <v>0</v>
      </c>
      <c r="H317" s="400">
        <f t="shared" si="16"/>
        <v>0</v>
      </c>
      <c r="J317" s="400">
        <f t="shared" si="14"/>
        <v>0</v>
      </c>
    </row>
    <row r="318" spans="1:10">
      <c r="A318" s="263"/>
      <c r="B318" s="46"/>
      <c r="C318" s="256"/>
      <c r="D318" s="264"/>
      <c r="F318" s="368">
        <f t="shared" si="15"/>
        <v>0</v>
      </c>
      <c r="H318" s="400">
        <f t="shared" si="16"/>
        <v>0</v>
      </c>
      <c r="J318" s="400">
        <f t="shared" si="14"/>
        <v>0</v>
      </c>
    </row>
    <row r="319" spans="1:10" ht="36.75" customHeight="1">
      <c r="A319" s="262">
        <v>18</v>
      </c>
      <c r="B319" s="471" t="s">
        <v>132</v>
      </c>
      <c r="C319" s="471"/>
      <c r="D319" s="471"/>
      <c r="E319" s="411"/>
      <c r="F319" s="368">
        <f t="shared" si="15"/>
        <v>0</v>
      </c>
      <c r="H319" s="400">
        <f t="shared" si="16"/>
        <v>0</v>
      </c>
      <c r="J319" s="400">
        <f t="shared" si="14"/>
        <v>0</v>
      </c>
    </row>
    <row r="320" spans="1:10" ht="19.5">
      <c r="A320" s="1">
        <v>18.010000000000002</v>
      </c>
      <c r="B320" s="2" t="s">
        <v>169</v>
      </c>
      <c r="C320" s="247" t="s">
        <v>129</v>
      </c>
      <c r="D320" s="245">
        <v>5</v>
      </c>
      <c r="E320" s="417">
        <v>131040.00000000003</v>
      </c>
      <c r="F320" s="367">
        <f>SUBTOTAL(9,F321:F328)</f>
        <v>655200.00000000012</v>
      </c>
      <c r="G320" s="403"/>
      <c r="H320" s="367">
        <f>SUBTOTAL(9,H321:H328)</f>
        <v>825000</v>
      </c>
      <c r="I320" s="403">
        <v>207600.00000000003</v>
      </c>
      <c r="J320" s="403">
        <f t="shared" si="14"/>
        <v>1038000.0000000001</v>
      </c>
    </row>
    <row r="321" spans="1:10" ht="19.5">
      <c r="A321" s="208"/>
      <c r="B321" s="7" t="s">
        <v>29</v>
      </c>
      <c r="C321" s="8"/>
      <c r="D321" s="128"/>
      <c r="E321" s="368"/>
      <c r="F321" s="368">
        <f t="shared" si="15"/>
        <v>0</v>
      </c>
      <c r="H321" s="400">
        <f t="shared" si="16"/>
        <v>0</v>
      </c>
      <c r="J321" s="400">
        <f t="shared" si="14"/>
        <v>0</v>
      </c>
    </row>
    <row r="322" spans="1:10" ht="19.5">
      <c r="A322" s="82"/>
      <c r="B322" s="46" t="s">
        <v>168</v>
      </c>
      <c r="C322" s="229" t="s">
        <v>129</v>
      </c>
      <c r="D322" s="244">
        <v>5</v>
      </c>
      <c r="E322" s="463">
        <v>109200.00000000001</v>
      </c>
      <c r="F322" s="368">
        <f t="shared" si="15"/>
        <v>546000.00000000012</v>
      </c>
      <c r="G322" s="400">
        <v>150000</v>
      </c>
      <c r="H322" s="400">
        <f t="shared" si="16"/>
        <v>750000</v>
      </c>
      <c r="I322" s="400">
        <v>201600.00000000003</v>
      </c>
      <c r="J322" s="400">
        <f t="shared" si="14"/>
        <v>1008000.0000000001</v>
      </c>
    </row>
    <row r="323" spans="1:10" ht="19.5">
      <c r="A323" s="83"/>
      <c r="B323" s="7" t="s">
        <v>5</v>
      </c>
      <c r="C323" s="11"/>
      <c r="D323" s="129"/>
      <c r="E323" s="378"/>
      <c r="F323" s="368">
        <f t="shared" si="15"/>
        <v>0</v>
      </c>
      <c r="H323" s="400">
        <f t="shared" si="16"/>
        <v>0</v>
      </c>
      <c r="J323" s="400">
        <f t="shared" si="14"/>
        <v>0</v>
      </c>
    </row>
    <row r="324" spans="1:10" ht="19.5">
      <c r="A324" s="82"/>
      <c r="B324" s="12"/>
      <c r="C324" s="8"/>
      <c r="D324" s="128"/>
      <c r="E324" s="368"/>
      <c r="F324" s="368">
        <f t="shared" si="15"/>
        <v>0</v>
      </c>
      <c r="H324" s="400">
        <f t="shared" si="16"/>
        <v>0</v>
      </c>
      <c r="J324" s="400">
        <f t="shared" si="14"/>
        <v>0</v>
      </c>
    </row>
    <row r="325" spans="1:10" ht="19.5">
      <c r="A325" s="209"/>
      <c r="B325" s="7" t="s">
        <v>33</v>
      </c>
      <c r="C325" s="8"/>
      <c r="D325" s="128"/>
      <c r="E325" s="368"/>
      <c r="F325" s="368">
        <f t="shared" si="15"/>
        <v>0</v>
      </c>
      <c r="H325" s="400">
        <f t="shared" si="16"/>
        <v>0</v>
      </c>
      <c r="J325" s="400">
        <f t="shared" ref="J325:J350" si="17">D325*I325</f>
        <v>0</v>
      </c>
    </row>
    <row r="326" spans="1:10" ht="19.5">
      <c r="A326" s="82"/>
      <c r="B326" s="12" t="s">
        <v>34</v>
      </c>
      <c r="C326" s="8" t="s">
        <v>21</v>
      </c>
      <c r="D326" s="113">
        <f>D320/2</f>
        <v>2.5</v>
      </c>
      <c r="E326" s="368">
        <v>10920.000000000002</v>
      </c>
      <c r="F326" s="368">
        <f t="shared" si="15"/>
        <v>27300.000000000004</v>
      </c>
      <c r="G326" s="400">
        <v>10000</v>
      </c>
      <c r="H326" s="400">
        <f t="shared" si="16"/>
        <v>25000</v>
      </c>
      <c r="I326" s="400">
        <v>9600</v>
      </c>
      <c r="J326" s="400">
        <f t="shared" si="17"/>
        <v>24000</v>
      </c>
    </row>
    <row r="327" spans="1:10" ht="19.5">
      <c r="A327" s="82"/>
      <c r="B327" s="12" t="s">
        <v>7</v>
      </c>
      <c r="C327" s="8" t="s">
        <v>21</v>
      </c>
      <c r="D327" s="113">
        <f>+D326*4</f>
        <v>10</v>
      </c>
      <c r="E327" s="368">
        <v>8190.0000000000018</v>
      </c>
      <c r="F327" s="368">
        <f t="shared" si="15"/>
        <v>81900.000000000015</v>
      </c>
      <c r="G327" s="400">
        <v>5000</v>
      </c>
      <c r="H327" s="400">
        <f t="shared" si="16"/>
        <v>50000</v>
      </c>
      <c r="I327" s="400">
        <v>600</v>
      </c>
      <c r="J327" s="400">
        <f t="shared" si="17"/>
        <v>6000</v>
      </c>
    </row>
    <row r="328" spans="1:10" ht="19.5">
      <c r="A328" s="83"/>
      <c r="B328" s="7" t="s">
        <v>39</v>
      </c>
      <c r="C328" s="11"/>
      <c r="D328" s="129"/>
      <c r="E328" s="378"/>
      <c r="F328" s="368">
        <f t="shared" ref="F328:F350" si="18">D328*E328</f>
        <v>0</v>
      </c>
      <c r="H328" s="400">
        <f t="shared" ref="H328:H350" si="19">D328*G328</f>
        <v>0</v>
      </c>
      <c r="J328" s="400">
        <f t="shared" si="17"/>
        <v>0</v>
      </c>
    </row>
    <row r="329" spans="1:10" ht="19.5">
      <c r="A329" s="1">
        <v>18.02</v>
      </c>
      <c r="B329" s="2" t="s">
        <v>167</v>
      </c>
      <c r="C329" s="247" t="s">
        <v>129</v>
      </c>
      <c r="D329" s="245">
        <v>1</v>
      </c>
      <c r="E329" s="417">
        <v>147420.00000000003</v>
      </c>
      <c r="F329" s="367">
        <f>SUBTOTAL(9,F330:F337)</f>
        <v>147420.00000000003</v>
      </c>
      <c r="G329" s="403"/>
      <c r="H329" s="367">
        <f>SUBTOTAL(9,H330:H337)</f>
        <v>165000</v>
      </c>
      <c r="I329" s="403">
        <v>256800.00000000003</v>
      </c>
      <c r="J329" s="403">
        <f>D329*I329</f>
        <v>256800.00000000003</v>
      </c>
    </row>
    <row r="330" spans="1:10" ht="19.5">
      <c r="A330" s="208"/>
      <c r="B330" s="7" t="s">
        <v>29</v>
      </c>
      <c r="C330" s="8"/>
      <c r="D330" s="128"/>
      <c r="E330" s="368"/>
      <c r="F330" s="368">
        <f t="shared" si="18"/>
        <v>0</v>
      </c>
      <c r="H330" s="400">
        <f t="shared" si="19"/>
        <v>0</v>
      </c>
      <c r="J330" s="400">
        <f t="shared" si="17"/>
        <v>0</v>
      </c>
    </row>
    <row r="331" spans="1:10" ht="19.5">
      <c r="A331" s="82"/>
      <c r="B331" s="46" t="s">
        <v>163</v>
      </c>
      <c r="C331" s="229" t="s">
        <v>129</v>
      </c>
      <c r="D331" s="244">
        <v>1</v>
      </c>
      <c r="E331" s="463">
        <v>122850.00000000001</v>
      </c>
      <c r="F331" s="368">
        <f t="shared" si="18"/>
        <v>122850.00000000001</v>
      </c>
      <c r="G331" s="400">
        <v>150000</v>
      </c>
      <c r="H331" s="400">
        <f t="shared" si="19"/>
        <v>150000</v>
      </c>
      <c r="I331" s="400">
        <v>226800.00000000003</v>
      </c>
      <c r="J331" s="400">
        <f t="shared" si="17"/>
        <v>226800.00000000003</v>
      </c>
    </row>
    <row r="332" spans="1:10" ht="19.5">
      <c r="A332" s="83"/>
      <c r="B332" s="7" t="s">
        <v>5</v>
      </c>
      <c r="C332" s="11"/>
      <c r="D332" s="129"/>
      <c r="E332" s="378"/>
      <c r="F332" s="368">
        <f t="shared" si="18"/>
        <v>0</v>
      </c>
      <c r="H332" s="400">
        <f t="shared" si="19"/>
        <v>0</v>
      </c>
      <c r="J332" s="400">
        <f t="shared" si="17"/>
        <v>0</v>
      </c>
    </row>
    <row r="333" spans="1:10" ht="19.5">
      <c r="A333" s="82"/>
      <c r="B333" s="12"/>
      <c r="C333" s="8"/>
      <c r="D333" s="128"/>
      <c r="E333" s="368"/>
      <c r="F333" s="368">
        <f t="shared" si="18"/>
        <v>0</v>
      </c>
      <c r="H333" s="400">
        <f t="shared" si="19"/>
        <v>0</v>
      </c>
      <c r="J333" s="400">
        <f t="shared" si="17"/>
        <v>0</v>
      </c>
    </row>
    <row r="334" spans="1:10" ht="19.5">
      <c r="A334" s="209"/>
      <c r="B334" s="7" t="s">
        <v>33</v>
      </c>
      <c r="C334" s="8"/>
      <c r="D334" s="128"/>
      <c r="E334" s="368"/>
      <c r="F334" s="368">
        <f t="shared" si="18"/>
        <v>0</v>
      </c>
      <c r="H334" s="400">
        <f t="shared" si="19"/>
        <v>0</v>
      </c>
      <c r="J334" s="400">
        <f t="shared" si="17"/>
        <v>0</v>
      </c>
    </row>
    <row r="335" spans="1:10" ht="19.5">
      <c r="A335" s="82"/>
      <c r="B335" s="12" t="s">
        <v>34</v>
      </c>
      <c r="C335" s="8" t="s">
        <v>21</v>
      </c>
      <c r="D335" s="113">
        <f>D329/2</f>
        <v>0.5</v>
      </c>
      <c r="E335" s="368">
        <v>12285.000000000002</v>
      </c>
      <c r="F335" s="368">
        <f t="shared" si="18"/>
        <v>6142.5000000000009</v>
      </c>
      <c r="G335" s="400">
        <v>10000</v>
      </c>
      <c r="H335" s="400">
        <f t="shared" si="19"/>
        <v>5000</v>
      </c>
      <c r="I335" s="400">
        <v>48000</v>
      </c>
      <c r="J335" s="400">
        <f t="shared" si="17"/>
        <v>24000</v>
      </c>
    </row>
    <row r="336" spans="1:10" ht="19.5">
      <c r="A336" s="82"/>
      <c r="B336" s="12" t="s">
        <v>7</v>
      </c>
      <c r="C336" s="8" t="s">
        <v>21</v>
      </c>
      <c r="D336" s="113">
        <f>+D335*4</f>
        <v>2</v>
      </c>
      <c r="E336" s="368">
        <v>9213.7500000000018</v>
      </c>
      <c r="F336" s="368">
        <f t="shared" si="18"/>
        <v>18427.500000000004</v>
      </c>
      <c r="G336" s="400">
        <v>5000</v>
      </c>
      <c r="H336" s="400">
        <f t="shared" si="19"/>
        <v>10000</v>
      </c>
      <c r="I336" s="400">
        <v>3000</v>
      </c>
      <c r="J336" s="400">
        <f t="shared" si="17"/>
        <v>6000</v>
      </c>
    </row>
    <row r="337" spans="1:10" ht="19.5">
      <c r="A337" s="155"/>
      <c r="B337" s="7" t="s">
        <v>39</v>
      </c>
      <c r="C337" s="11"/>
      <c r="D337" s="129"/>
      <c r="E337" s="378"/>
      <c r="F337" s="368">
        <f t="shared" si="18"/>
        <v>0</v>
      </c>
      <c r="H337" s="400">
        <f t="shared" si="19"/>
        <v>0</v>
      </c>
      <c r="J337" s="400">
        <f t="shared" si="17"/>
        <v>0</v>
      </c>
    </row>
    <row r="338" spans="1:10" s="307" customFormat="1" ht="39">
      <c r="A338" s="179">
        <v>19.010000000000002</v>
      </c>
      <c r="B338" s="15" t="s">
        <v>194</v>
      </c>
      <c r="C338" s="3" t="s">
        <v>50</v>
      </c>
      <c r="D338" s="16">
        <f>(3*5)+(5*2.5*2)+(2.1*2.5)+(3*2.5)</f>
        <v>52.75</v>
      </c>
      <c r="E338" s="386">
        <v>23784.689731913219</v>
      </c>
      <c r="F338" s="367">
        <f>SUBTOTAL(9,F339:F351)</f>
        <v>1254642.383358422</v>
      </c>
      <c r="G338" s="464"/>
      <c r="H338" s="367">
        <f>SUBTOTAL(9,H339:H351)</f>
        <v>1432852.6133301777</v>
      </c>
      <c r="I338" s="464">
        <v>26174.017716765284</v>
      </c>
      <c r="J338" s="403">
        <f t="shared" si="17"/>
        <v>1380679.4345593688</v>
      </c>
    </row>
    <row r="339" spans="1:10">
      <c r="A339" s="255"/>
      <c r="B339" s="12"/>
      <c r="C339" s="8"/>
      <c r="D339" s="23">
        <f>D338*0.016</f>
        <v>0.84399999999999997</v>
      </c>
      <c r="E339" s="388"/>
      <c r="F339" s="368">
        <f t="shared" si="18"/>
        <v>0</v>
      </c>
      <c r="H339" s="400">
        <f t="shared" si="19"/>
        <v>0</v>
      </c>
      <c r="J339" s="400">
        <f t="shared" si="17"/>
        <v>0</v>
      </c>
    </row>
    <row r="340" spans="1:10" ht="16.5">
      <c r="A340" s="255"/>
      <c r="B340" s="57" t="s">
        <v>51</v>
      </c>
      <c r="C340" s="42"/>
      <c r="D340" s="8"/>
      <c r="E340" s="389"/>
      <c r="F340" s="368">
        <f t="shared" si="18"/>
        <v>0</v>
      </c>
      <c r="H340" s="400">
        <f t="shared" si="19"/>
        <v>0</v>
      </c>
      <c r="J340" s="400">
        <f t="shared" si="17"/>
        <v>0</v>
      </c>
    </row>
    <row r="341" spans="1:10">
      <c r="A341" s="255"/>
      <c r="B341" s="46" t="s">
        <v>189</v>
      </c>
      <c r="C341" s="22" t="s">
        <v>1</v>
      </c>
      <c r="D341" s="23">
        <f>D338*1.2</f>
        <v>63.3</v>
      </c>
      <c r="E341" s="389">
        <v>13500</v>
      </c>
      <c r="F341" s="368">
        <f t="shared" si="18"/>
        <v>854550</v>
      </c>
      <c r="G341" s="400">
        <v>15000</v>
      </c>
      <c r="H341" s="400">
        <f t="shared" si="19"/>
        <v>949500</v>
      </c>
      <c r="I341" s="400">
        <v>18000</v>
      </c>
      <c r="J341" s="400">
        <f t="shared" si="17"/>
        <v>1139400</v>
      </c>
    </row>
    <row r="342" spans="1:10">
      <c r="A342" s="255"/>
      <c r="B342" s="20" t="s">
        <v>41</v>
      </c>
      <c r="C342" s="22" t="s">
        <v>31</v>
      </c>
      <c r="D342" s="23">
        <f>D339*1.57*(1/5)*1440/50</f>
        <v>7.6324608000000014</v>
      </c>
      <c r="E342" s="389">
        <v>11200</v>
      </c>
      <c r="F342" s="368">
        <f t="shared" si="18"/>
        <v>85483.560960000017</v>
      </c>
      <c r="G342" s="400">
        <v>14000</v>
      </c>
      <c r="H342" s="400">
        <f t="shared" si="19"/>
        <v>106854.45120000002</v>
      </c>
      <c r="I342" s="400">
        <v>11000</v>
      </c>
      <c r="J342" s="400">
        <f t="shared" si="17"/>
        <v>83957.068800000008</v>
      </c>
    </row>
    <row r="343" spans="1:10">
      <c r="B343" s="246" t="s">
        <v>190</v>
      </c>
      <c r="C343" s="138" t="s">
        <v>28</v>
      </c>
      <c r="D343" s="213">
        <f>D339*1.57*(4/5)</f>
        <v>1.0600640000000001</v>
      </c>
      <c r="E343" s="389">
        <v>34500</v>
      </c>
      <c r="F343" s="368">
        <f t="shared" si="18"/>
        <v>36572.208000000006</v>
      </c>
      <c r="G343" s="400">
        <v>25000</v>
      </c>
      <c r="H343" s="400">
        <f t="shared" si="19"/>
        <v>26501.600000000002</v>
      </c>
      <c r="I343" s="400">
        <v>30000</v>
      </c>
      <c r="J343" s="400">
        <f t="shared" si="17"/>
        <v>31801.920000000002</v>
      </c>
    </row>
    <row r="344" spans="1:10">
      <c r="B344" s="20" t="s">
        <v>191</v>
      </c>
      <c r="C344" s="22" t="s">
        <v>4</v>
      </c>
      <c r="D344" s="23">
        <f>D339*40</f>
        <v>33.76</v>
      </c>
      <c r="E344" s="389">
        <v>800</v>
      </c>
      <c r="F344" s="368">
        <f t="shared" si="18"/>
        <v>27008</v>
      </c>
      <c r="G344" s="400">
        <v>100</v>
      </c>
      <c r="H344" s="400">
        <f t="shared" si="19"/>
        <v>3376</v>
      </c>
      <c r="I344" s="400">
        <v>50</v>
      </c>
      <c r="J344" s="400">
        <f t="shared" si="17"/>
        <v>1688</v>
      </c>
    </row>
    <row r="345" spans="1:10">
      <c r="B345" s="20" t="s">
        <v>192</v>
      </c>
      <c r="C345" s="22" t="s">
        <v>193</v>
      </c>
      <c r="D345" s="23">
        <f>D341/84.5</f>
        <v>0.74911242603550288</v>
      </c>
      <c r="E345" s="389">
        <v>2500</v>
      </c>
      <c r="F345" s="368">
        <f t="shared" si="18"/>
        <v>1872.7810650887573</v>
      </c>
      <c r="G345" s="400">
        <v>5000</v>
      </c>
      <c r="H345" s="400">
        <f t="shared" si="19"/>
        <v>3745.5621301775145</v>
      </c>
      <c r="I345" s="400">
        <v>1000</v>
      </c>
      <c r="J345" s="400">
        <f t="shared" si="17"/>
        <v>749.11242603550284</v>
      </c>
    </row>
    <row r="346" spans="1:10" s="60" customFormat="1" ht="16.5">
      <c r="A346" s="266"/>
      <c r="B346" s="21" t="s">
        <v>39</v>
      </c>
      <c r="C346" s="27"/>
      <c r="D346" s="28"/>
      <c r="E346" s="390"/>
      <c r="F346" s="368">
        <f t="shared" si="18"/>
        <v>0</v>
      </c>
      <c r="G346" s="407"/>
      <c r="H346" s="400">
        <f t="shared" si="19"/>
        <v>0</v>
      </c>
      <c r="I346" s="407"/>
      <c r="J346" s="400">
        <f t="shared" si="17"/>
        <v>0</v>
      </c>
    </row>
    <row r="347" spans="1:10">
      <c r="B347" s="46"/>
      <c r="C347" s="42"/>
      <c r="D347" s="23"/>
      <c r="E347" s="389"/>
      <c r="F347" s="368">
        <f t="shared" si="18"/>
        <v>0</v>
      </c>
      <c r="H347" s="400">
        <f t="shared" si="19"/>
        <v>0</v>
      </c>
      <c r="J347" s="400">
        <f t="shared" si="17"/>
        <v>0</v>
      </c>
    </row>
    <row r="348" spans="1:10" ht="16.5">
      <c r="B348" s="57" t="s">
        <v>53</v>
      </c>
      <c r="C348" s="42"/>
      <c r="D348" s="8"/>
      <c r="E348" s="389"/>
      <c r="F348" s="368">
        <f t="shared" si="18"/>
        <v>0</v>
      </c>
      <c r="H348" s="400">
        <f t="shared" si="19"/>
        <v>0</v>
      </c>
      <c r="J348" s="400">
        <f t="shared" si="17"/>
        <v>0</v>
      </c>
    </row>
    <row r="349" spans="1:10">
      <c r="B349" s="46" t="s">
        <v>34</v>
      </c>
      <c r="C349" s="42" t="s">
        <v>8</v>
      </c>
      <c r="D349" s="23">
        <f>D338/6</f>
        <v>8.7916666666666661</v>
      </c>
      <c r="E349" s="389">
        <v>6285</v>
      </c>
      <c r="F349" s="368">
        <f t="shared" si="18"/>
        <v>55255.624999999993</v>
      </c>
      <c r="G349" s="400">
        <v>15000</v>
      </c>
      <c r="H349" s="400">
        <f t="shared" si="19"/>
        <v>131875</v>
      </c>
      <c r="I349" s="400">
        <v>10000</v>
      </c>
      <c r="J349" s="400">
        <f t="shared" si="17"/>
        <v>87916.666666666657</v>
      </c>
    </row>
    <row r="350" spans="1:10">
      <c r="B350" s="46" t="s">
        <v>7</v>
      </c>
      <c r="C350" s="42" t="s">
        <v>8</v>
      </c>
      <c r="D350" s="8">
        <f>D349*4</f>
        <v>35.166666666666664</v>
      </c>
      <c r="E350" s="389">
        <v>5513.75</v>
      </c>
      <c r="F350" s="368">
        <f t="shared" si="18"/>
        <v>193900.20833333331</v>
      </c>
      <c r="G350" s="400">
        <v>6000</v>
      </c>
      <c r="H350" s="400">
        <f t="shared" si="19"/>
        <v>211000</v>
      </c>
      <c r="I350" s="400">
        <v>1000</v>
      </c>
      <c r="J350" s="400">
        <f t="shared" si="17"/>
        <v>35166.666666666664</v>
      </c>
    </row>
    <row r="351" spans="1:10" s="60" customFormat="1" ht="16.5">
      <c r="A351" s="266"/>
      <c r="B351" s="304" t="s">
        <v>119</v>
      </c>
      <c r="C351" s="305"/>
      <c r="D351" s="306"/>
      <c r="E351" s="390"/>
      <c r="F351" s="390"/>
      <c r="G351" s="407"/>
      <c r="H351" s="407"/>
      <c r="I351" s="407"/>
      <c r="J351" s="407"/>
    </row>
    <row r="352" spans="1:10">
      <c r="B352" s="301"/>
      <c r="C352" s="302"/>
      <c r="D352" s="303"/>
      <c r="E352" s="389"/>
      <c r="F352" s="389"/>
    </row>
    <row r="353" spans="2:10" ht="37.5">
      <c r="B353" s="472" t="s">
        <v>177</v>
      </c>
      <c r="C353" s="472"/>
      <c r="D353" s="472"/>
      <c r="E353" s="418"/>
      <c r="F353" s="437">
        <f>F5+F9+F16+F24+F32+F42+F60+F80+F91+F102+F114+F127+F138+F149+F162+F173+F184+F198+F218+F237+F249+F261+F278+F291+F309+F320+F329+F338</f>
        <v>5349017.4087387938</v>
      </c>
      <c r="G353" s="429"/>
      <c r="H353" s="437">
        <f>H5+H9+H16+H24+H32+H42+H60+H80+H91+H102+H114+H127+H138+H149+H162+H173+H184+H198+H218+H237+H249+H261+H278+H291+H309+H320+H329+H338</f>
        <v>6298033.6190212872</v>
      </c>
      <c r="I353" s="437"/>
      <c r="J353" s="437">
        <f>J5+J9+J16+J24+J32+J42+J60+J80+J91+J102+J114+J127+J138+J149+J162+J173+J184+J198+J218+J237+J249+J261+J278+J291+J309+J320+J329+J338</f>
        <v>6600503.18264989</v>
      </c>
    </row>
  </sheetData>
  <mergeCells count="18">
    <mergeCell ref="B353:D353"/>
    <mergeCell ref="B4:D4"/>
    <mergeCell ref="B15:D15"/>
    <mergeCell ref="B41:D41"/>
    <mergeCell ref="B79:D79"/>
    <mergeCell ref="B126:D126"/>
    <mergeCell ref="B290:D290"/>
    <mergeCell ref="B248:D248"/>
    <mergeCell ref="B161:D161"/>
    <mergeCell ref="B183:D183"/>
    <mergeCell ref="B197:D197"/>
    <mergeCell ref="B217:D217"/>
    <mergeCell ref="B277:D277"/>
    <mergeCell ref="G2:H2"/>
    <mergeCell ref="I2:J2"/>
    <mergeCell ref="B308:D308"/>
    <mergeCell ref="B319:D319"/>
    <mergeCell ref="E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330"/>
  <sheetViews>
    <sheetView topLeftCell="B318" workbookViewId="0">
      <selection activeCell="H7" sqref="H7"/>
    </sheetView>
  </sheetViews>
  <sheetFormatPr defaultColWidth="8.85546875" defaultRowHeight="16.5"/>
  <cols>
    <col min="1" max="1" width="8.85546875" style="79"/>
    <col min="2" max="2" width="66.85546875" style="103" customWidth="1"/>
    <col min="3" max="3" width="8.85546875" style="105"/>
    <col min="4" max="4" width="12" style="228" customWidth="1"/>
    <col min="5" max="6" width="15.140625" style="250" customWidth="1"/>
    <col min="7" max="7" width="13.140625" customWidth="1"/>
    <col min="8" max="8" width="15.140625" customWidth="1"/>
    <col min="9" max="9" width="11.85546875" customWidth="1"/>
    <col min="10" max="10" width="15.140625" customWidth="1"/>
  </cols>
  <sheetData>
    <row r="2" spans="1:10" ht="21">
      <c r="E2" s="469" t="s">
        <v>225</v>
      </c>
      <c r="F2" s="470"/>
      <c r="G2" s="477" t="s">
        <v>229</v>
      </c>
      <c r="H2" s="477"/>
      <c r="I2" s="477" t="s">
        <v>228</v>
      </c>
      <c r="J2" s="477"/>
    </row>
    <row r="3" spans="1:10" s="206" customFormat="1" ht="42" customHeight="1">
      <c r="A3" s="205"/>
      <c r="B3" s="139" t="s">
        <v>120</v>
      </c>
      <c r="C3" s="139" t="s">
        <v>121</v>
      </c>
      <c r="D3" s="265" t="s">
        <v>122</v>
      </c>
      <c r="E3" s="447" t="s">
        <v>227</v>
      </c>
      <c r="F3" s="447" t="s">
        <v>226</v>
      </c>
      <c r="G3" s="448" t="s">
        <v>227</v>
      </c>
      <c r="H3" s="449" t="s">
        <v>226</v>
      </c>
      <c r="I3" s="448" t="s">
        <v>227</v>
      </c>
      <c r="J3" s="449" t="s">
        <v>226</v>
      </c>
    </row>
    <row r="4" spans="1:10" ht="19.7" customHeight="1">
      <c r="A4" s="140">
        <v>1</v>
      </c>
      <c r="B4" s="473" t="s">
        <v>93</v>
      </c>
      <c r="C4" s="473"/>
      <c r="D4" s="473"/>
      <c r="E4" s="366"/>
      <c r="F4" s="366"/>
    </row>
    <row r="5" spans="1:10" ht="18.75" customHeight="1">
      <c r="A5" s="141">
        <v>1.01</v>
      </c>
      <c r="B5" s="15" t="s">
        <v>94</v>
      </c>
      <c r="C5" s="34" t="s">
        <v>28</v>
      </c>
      <c r="D5" s="120">
        <f>23*0.8*0.4</f>
        <v>7.3600000000000012</v>
      </c>
      <c r="E5" s="367">
        <v>2000</v>
      </c>
      <c r="F5" s="367">
        <f>E5*D5</f>
        <v>14720.000000000002</v>
      </c>
      <c r="G5" s="403"/>
      <c r="H5" s="403"/>
      <c r="I5" s="403">
        <v>10000</v>
      </c>
      <c r="J5" s="403">
        <f t="shared" ref="J5:J68" si="0">D5*I5</f>
        <v>73600.000000000015</v>
      </c>
    </row>
    <row r="6" spans="1:10" ht="18.75" customHeight="1">
      <c r="A6" s="142"/>
      <c r="B6" s="7" t="s">
        <v>6</v>
      </c>
      <c r="C6" s="8"/>
      <c r="D6" s="113"/>
      <c r="E6" s="368"/>
      <c r="F6" s="368"/>
      <c r="G6" s="400"/>
      <c r="H6" s="400"/>
      <c r="I6" s="400"/>
      <c r="J6" s="400">
        <f t="shared" si="0"/>
        <v>0</v>
      </c>
    </row>
    <row r="7" spans="1:10" s="60" customFormat="1" ht="18.75" customHeight="1">
      <c r="A7" s="142"/>
      <c r="B7" s="12" t="s">
        <v>7</v>
      </c>
      <c r="C7" s="8" t="s">
        <v>8</v>
      </c>
      <c r="D7" s="113">
        <f>D5/0.9</f>
        <v>8.1777777777777789</v>
      </c>
      <c r="E7" s="368">
        <v>1800</v>
      </c>
      <c r="F7" s="368">
        <f>D7*E7</f>
        <v>14720.000000000002</v>
      </c>
      <c r="G7" s="407">
        <v>5000</v>
      </c>
      <c r="H7" s="407">
        <f t="shared" ref="H7:H70" si="1">G7*D7</f>
        <v>40888.888888888898</v>
      </c>
      <c r="I7" s="407">
        <v>9000</v>
      </c>
      <c r="J7" s="400">
        <f t="shared" si="0"/>
        <v>73600.000000000015</v>
      </c>
    </row>
    <row r="8" spans="1:10" ht="18.75" customHeight="1">
      <c r="A8" s="144"/>
      <c r="B8" s="57" t="s">
        <v>9</v>
      </c>
      <c r="C8" s="58"/>
      <c r="D8" s="115"/>
      <c r="E8" s="369"/>
      <c r="F8" s="368">
        <f t="shared" ref="F8:F71" si="2">D8*E8</f>
        <v>0</v>
      </c>
      <c r="G8" s="400"/>
      <c r="H8" s="407">
        <f t="shared" si="1"/>
        <v>0</v>
      </c>
      <c r="I8" s="400"/>
      <c r="J8" s="400">
        <f t="shared" si="0"/>
        <v>0</v>
      </c>
    </row>
    <row r="9" spans="1:10" ht="18.75" customHeight="1">
      <c r="A9" s="141">
        <v>1.03</v>
      </c>
      <c r="B9" s="15" t="s">
        <v>114</v>
      </c>
      <c r="C9" s="34" t="s">
        <v>28</v>
      </c>
      <c r="D9" s="120">
        <f>(0.75*0.75*1.25)*5</f>
        <v>3.515625</v>
      </c>
      <c r="E9" s="367">
        <v>1422.2222222222222</v>
      </c>
      <c r="F9" s="367">
        <f t="shared" si="2"/>
        <v>5000</v>
      </c>
      <c r="G9" s="403"/>
      <c r="H9" s="408">
        <f t="shared" si="1"/>
        <v>0</v>
      </c>
      <c r="I9" s="403">
        <v>11111</v>
      </c>
      <c r="J9" s="403">
        <f t="shared" si="0"/>
        <v>39062.109375</v>
      </c>
    </row>
    <row r="10" spans="1:10" ht="18.75" customHeight="1">
      <c r="A10" s="142"/>
      <c r="B10" s="7" t="s">
        <v>6</v>
      </c>
      <c r="C10" s="8"/>
      <c r="D10" s="113"/>
      <c r="E10" s="368"/>
      <c r="F10" s="368">
        <f t="shared" si="2"/>
        <v>0</v>
      </c>
      <c r="G10" s="400"/>
      <c r="H10" s="407">
        <f t="shared" si="1"/>
        <v>0</v>
      </c>
      <c r="I10" s="400"/>
      <c r="J10" s="400">
        <f t="shared" si="0"/>
        <v>0</v>
      </c>
    </row>
    <row r="11" spans="1:10" ht="18.75" customHeight="1">
      <c r="A11" s="142"/>
      <c r="B11" s="12" t="s">
        <v>92</v>
      </c>
      <c r="C11" s="8" t="s">
        <v>8</v>
      </c>
      <c r="D11" s="113">
        <f>D12/10</f>
        <v>0.390625</v>
      </c>
      <c r="E11" s="368">
        <v>2300</v>
      </c>
      <c r="F11" s="368">
        <f t="shared" si="2"/>
        <v>898.4375</v>
      </c>
      <c r="G11" s="400">
        <v>1500</v>
      </c>
      <c r="H11" s="407">
        <f t="shared" si="1"/>
        <v>585.9375</v>
      </c>
      <c r="I11" s="400">
        <v>10000</v>
      </c>
      <c r="J11" s="400">
        <f t="shared" si="0"/>
        <v>3906.25</v>
      </c>
    </row>
    <row r="12" spans="1:10" ht="18.75" customHeight="1">
      <c r="A12" s="142"/>
      <c r="B12" s="12" t="s">
        <v>7</v>
      </c>
      <c r="C12" s="8" t="s">
        <v>8</v>
      </c>
      <c r="D12" s="113">
        <f>D9/0.9</f>
        <v>3.90625</v>
      </c>
      <c r="E12" s="368">
        <v>1050</v>
      </c>
      <c r="F12" s="368">
        <f t="shared" si="2"/>
        <v>4101.5625</v>
      </c>
      <c r="G12" s="400">
        <v>5000</v>
      </c>
      <c r="H12" s="407">
        <f t="shared" si="1"/>
        <v>19531.25</v>
      </c>
      <c r="I12" s="400">
        <v>9000</v>
      </c>
      <c r="J12" s="400">
        <f t="shared" si="0"/>
        <v>35156.25</v>
      </c>
    </row>
    <row r="13" spans="1:10" ht="18.75" customHeight="1">
      <c r="A13" s="144"/>
      <c r="B13" s="57" t="s">
        <v>9</v>
      </c>
      <c r="C13" s="58"/>
      <c r="D13" s="115"/>
      <c r="E13" s="369"/>
      <c r="F13" s="368">
        <f t="shared" si="2"/>
        <v>0</v>
      </c>
      <c r="G13" s="400"/>
      <c r="H13" s="407">
        <f t="shared" si="1"/>
        <v>0</v>
      </c>
      <c r="I13" s="400"/>
      <c r="J13" s="400">
        <f t="shared" si="0"/>
        <v>0</v>
      </c>
    </row>
    <row r="14" spans="1:10" ht="18.75" customHeight="1">
      <c r="A14" s="145"/>
      <c r="B14" s="57"/>
      <c r="C14" s="42"/>
      <c r="D14" s="122"/>
      <c r="E14" s="370"/>
      <c r="F14" s="368">
        <f t="shared" si="2"/>
        <v>0</v>
      </c>
      <c r="G14" s="400"/>
      <c r="H14" s="407">
        <f t="shared" si="1"/>
        <v>0</v>
      </c>
      <c r="I14" s="400"/>
      <c r="J14" s="400">
        <f t="shared" si="0"/>
        <v>0</v>
      </c>
    </row>
    <row r="15" spans="1:10" ht="36.75" customHeight="1">
      <c r="A15" s="146">
        <v>2</v>
      </c>
      <c r="B15" s="467" t="s">
        <v>0</v>
      </c>
      <c r="C15" s="467"/>
      <c r="D15" s="467"/>
      <c r="E15" s="372"/>
      <c r="F15" s="368">
        <f t="shared" si="2"/>
        <v>0</v>
      </c>
      <c r="G15" s="400"/>
      <c r="H15" s="407">
        <f t="shared" si="1"/>
        <v>0</v>
      </c>
      <c r="I15" s="400"/>
      <c r="J15" s="400">
        <f t="shared" si="0"/>
        <v>0</v>
      </c>
    </row>
    <row r="16" spans="1:10" s="60" customFormat="1" ht="18.75" customHeight="1">
      <c r="A16" s="147">
        <v>2.0099999999999998</v>
      </c>
      <c r="B16" s="2" t="s">
        <v>71</v>
      </c>
      <c r="C16" s="3" t="s">
        <v>1</v>
      </c>
      <c r="D16" s="112">
        <f>23*0.4</f>
        <v>9.2000000000000011</v>
      </c>
      <c r="E16" s="371">
        <v>658.33333333333337</v>
      </c>
      <c r="F16" s="367">
        <f t="shared" si="2"/>
        <v>6056.6666666666679</v>
      </c>
      <c r="G16" s="408"/>
      <c r="H16" s="408">
        <f t="shared" si="1"/>
        <v>0</v>
      </c>
      <c r="I16" s="408">
        <v>2000</v>
      </c>
      <c r="J16" s="403">
        <f t="shared" si="0"/>
        <v>18400.000000000004</v>
      </c>
    </row>
    <row r="17" spans="1:10" ht="18.75" customHeight="1">
      <c r="A17" s="142"/>
      <c r="B17" s="7" t="s">
        <v>2</v>
      </c>
      <c r="C17" s="8"/>
      <c r="D17" s="113"/>
      <c r="E17" s="368"/>
      <c r="F17" s="368">
        <f t="shared" si="2"/>
        <v>0</v>
      </c>
      <c r="G17" s="400"/>
      <c r="H17" s="407">
        <f t="shared" si="1"/>
        <v>0</v>
      </c>
      <c r="I17" s="400"/>
      <c r="J17" s="400">
        <f t="shared" si="0"/>
        <v>0</v>
      </c>
    </row>
    <row r="18" spans="1:10" s="78" customFormat="1" ht="19.5" customHeight="1">
      <c r="A18" s="142"/>
      <c r="B18" s="46" t="s">
        <v>3</v>
      </c>
      <c r="C18" s="8" t="s">
        <v>4</v>
      </c>
      <c r="D18" s="113">
        <f>D16/10</f>
        <v>0.92000000000000015</v>
      </c>
      <c r="E18" s="368">
        <v>5500</v>
      </c>
      <c r="F18" s="368">
        <f t="shared" si="2"/>
        <v>5060.0000000000009</v>
      </c>
      <c r="G18" s="413">
        <v>12000</v>
      </c>
      <c r="H18" s="407">
        <f t="shared" si="1"/>
        <v>11040.000000000002</v>
      </c>
      <c r="I18" s="413">
        <v>18000</v>
      </c>
      <c r="J18" s="400">
        <f t="shared" si="0"/>
        <v>16560.000000000004</v>
      </c>
    </row>
    <row r="19" spans="1:10" ht="18.75" customHeight="1">
      <c r="A19" s="148"/>
      <c r="B19" s="57" t="s">
        <v>5</v>
      </c>
      <c r="C19" s="11"/>
      <c r="D19" s="116"/>
      <c r="E19" s="378"/>
      <c r="F19" s="368">
        <f t="shared" si="2"/>
        <v>0</v>
      </c>
      <c r="G19" s="400"/>
      <c r="H19" s="407">
        <f t="shared" si="1"/>
        <v>0</v>
      </c>
      <c r="I19" s="400"/>
      <c r="J19" s="400">
        <f t="shared" si="0"/>
        <v>0</v>
      </c>
    </row>
    <row r="20" spans="1:10" ht="18.75" customHeight="1">
      <c r="A20" s="142"/>
      <c r="B20" s="46"/>
      <c r="C20" s="8"/>
      <c r="D20" s="113"/>
      <c r="E20" s="368"/>
      <c r="F20" s="368">
        <f t="shared" si="2"/>
        <v>0</v>
      </c>
      <c r="G20" s="400"/>
      <c r="H20" s="407">
        <f t="shared" si="1"/>
        <v>0</v>
      </c>
      <c r="I20" s="400"/>
      <c r="J20" s="400">
        <f t="shared" si="0"/>
        <v>0</v>
      </c>
    </row>
    <row r="21" spans="1:10" ht="18.75" customHeight="1">
      <c r="A21" s="142"/>
      <c r="B21" s="7" t="s">
        <v>6</v>
      </c>
      <c r="C21" s="8"/>
      <c r="D21" s="113"/>
      <c r="E21" s="368"/>
      <c r="F21" s="368">
        <f t="shared" si="2"/>
        <v>0</v>
      </c>
      <c r="G21" s="400"/>
      <c r="H21" s="407">
        <f t="shared" si="1"/>
        <v>0</v>
      </c>
      <c r="I21" s="400"/>
      <c r="J21" s="400">
        <f t="shared" si="0"/>
        <v>0</v>
      </c>
    </row>
    <row r="22" spans="1:10" ht="18.75" customHeight="1">
      <c r="A22" s="142"/>
      <c r="B22" s="12" t="s">
        <v>7</v>
      </c>
      <c r="C22" s="8" t="s">
        <v>8</v>
      </c>
      <c r="D22" s="113">
        <f>D16/60</f>
        <v>0.15333333333333335</v>
      </c>
      <c r="E22" s="368">
        <v>6500</v>
      </c>
      <c r="F22" s="368">
        <f t="shared" si="2"/>
        <v>996.66666666666674</v>
      </c>
      <c r="G22" s="400">
        <v>5000</v>
      </c>
      <c r="H22" s="407">
        <f t="shared" si="1"/>
        <v>766.66666666666674</v>
      </c>
      <c r="I22" s="400">
        <v>12000</v>
      </c>
      <c r="J22" s="400">
        <f t="shared" si="0"/>
        <v>1840.0000000000002</v>
      </c>
    </row>
    <row r="23" spans="1:10" ht="18.75" customHeight="1">
      <c r="A23" s="144"/>
      <c r="B23" s="57" t="s">
        <v>9</v>
      </c>
      <c r="C23" s="58"/>
      <c r="D23" s="115"/>
      <c r="E23" s="369"/>
      <c r="F23" s="368">
        <f t="shared" si="2"/>
        <v>0</v>
      </c>
      <c r="G23" s="400"/>
      <c r="H23" s="407">
        <f t="shared" si="1"/>
        <v>0</v>
      </c>
      <c r="I23" s="400"/>
      <c r="J23" s="400">
        <f t="shared" si="0"/>
        <v>0</v>
      </c>
    </row>
    <row r="24" spans="1:10" ht="18.75" customHeight="1">
      <c r="A24" s="147">
        <v>2.02</v>
      </c>
      <c r="B24" s="2" t="s">
        <v>97</v>
      </c>
      <c r="C24" s="3" t="s">
        <v>1</v>
      </c>
      <c r="D24" s="112">
        <v>30</v>
      </c>
      <c r="E24" s="371">
        <v>958.33333333333337</v>
      </c>
      <c r="F24" s="367">
        <f t="shared" si="2"/>
        <v>28750</v>
      </c>
      <c r="G24" s="403"/>
      <c r="H24" s="408">
        <f t="shared" si="1"/>
        <v>0</v>
      </c>
      <c r="I24" s="403">
        <v>2000</v>
      </c>
      <c r="J24" s="403">
        <f t="shared" si="0"/>
        <v>60000</v>
      </c>
    </row>
    <row r="25" spans="1:10" ht="18.75" customHeight="1">
      <c r="A25" s="142"/>
      <c r="B25" s="7" t="s">
        <v>2</v>
      </c>
      <c r="C25" s="8"/>
      <c r="D25" s="113"/>
      <c r="E25" s="368"/>
      <c r="F25" s="368">
        <f t="shared" si="2"/>
        <v>0</v>
      </c>
      <c r="G25" s="400"/>
      <c r="H25" s="407">
        <f t="shared" si="1"/>
        <v>0</v>
      </c>
      <c r="I25" s="400"/>
      <c r="J25" s="400">
        <f t="shared" si="0"/>
        <v>0</v>
      </c>
    </row>
    <row r="26" spans="1:10" ht="18.75" customHeight="1">
      <c r="A26" s="142"/>
      <c r="B26" s="46" t="s">
        <v>3</v>
      </c>
      <c r="C26" s="8" t="s">
        <v>4</v>
      </c>
      <c r="D26" s="113">
        <f>D24/10</f>
        <v>3</v>
      </c>
      <c r="E26" s="368">
        <v>8500</v>
      </c>
      <c r="F26" s="368">
        <f t="shared" si="2"/>
        <v>25500</v>
      </c>
      <c r="G26" s="400">
        <v>12000</v>
      </c>
      <c r="H26" s="407">
        <f t="shared" si="1"/>
        <v>36000</v>
      </c>
      <c r="I26" s="400">
        <v>18000</v>
      </c>
      <c r="J26" s="400">
        <f t="shared" si="0"/>
        <v>54000</v>
      </c>
    </row>
    <row r="27" spans="1:10" ht="18.75" customHeight="1">
      <c r="A27" s="148"/>
      <c r="B27" s="57" t="s">
        <v>5</v>
      </c>
      <c r="C27" s="11"/>
      <c r="D27" s="116"/>
      <c r="E27" s="378"/>
      <c r="F27" s="368">
        <f t="shared" si="2"/>
        <v>0</v>
      </c>
      <c r="G27" s="400"/>
      <c r="H27" s="407">
        <f t="shared" si="1"/>
        <v>0</v>
      </c>
      <c r="I27" s="400"/>
      <c r="J27" s="400">
        <f t="shared" si="0"/>
        <v>0</v>
      </c>
    </row>
    <row r="28" spans="1:10" ht="18.75" customHeight="1">
      <c r="A28" s="142"/>
      <c r="B28" s="46"/>
      <c r="C28" s="8"/>
      <c r="D28" s="113"/>
      <c r="E28" s="368"/>
      <c r="F28" s="368">
        <f t="shared" si="2"/>
        <v>0</v>
      </c>
      <c r="G28" s="400"/>
      <c r="H28" s="407">
        <f t="shared" si="1"/>
        <v>0</v>
      </c>
      <c r="I28" s="400"/>
      <c r="J28" s="400">
        <f t="shared" si="0"/>
        <v>0</v>
      </c>
    </row>
    <row r="29" spans="1:10" ht="18.75" customHeight="1">
      <c r="A29" s="142"/>
      <c r="B29" s="7" t="s">
        <v>6</v>
      </c>
      <c r="C29" s="8"/>
      <c r="D29" s="113"/>
      <c r="E29" s="368"/>
      <c r="F29" s="368">
        <f t="shared" si="2"/>
        <v>0</v>
      </c>
      <c r="G29" s="400"/>
      <c r="H29" s="407">
        <f t="shared" si="1"/>
        <v>0</v>
      </c>
      <c r="I29" s="400"/>
      <c r="J29" s="400">
        <f t="shared" si="0"/>
        <v>0</v>
      </c>
    </row>
    <row r="30" spans="1:10" ht="18.75" customHeight="1">
      <c r="A30" s="142"/>
      <c r="B30" s="12" t="s">
        <v>7</v>
      </c>
      <c r="C30" s="8" t="s">
        <v>8</v>
      </c>
      <c r="D30" s="113">
        <f>D24/60</f>
        <v>0.5</v>
      </c>
      <c r="E30" s="368">
        <v>6500</v>
      </c>
      <c r="F30" s="368">
        <f t="shared" si="2"/>
        <v>3250</v>
      </c>
      <c r="G30" s="400">
        <v>5000</v>
      </c>
      <c r="H30" s="407">
        <f t="shared" si="1"/>
        <v>2500</v>
      </c>
      <c r="I30" s="400">
        <v>12000</v>
      </c>
      <c r="J30" s="400">
        <f t="shared" si="0"/>
        <v>6000</v>
      </c>
    </row>
    <row r="31" spans="1:10" ht="18.75" customHeight="1">
      <c r="A31" s="144"/>
      <c r="B31" s="57" t="s">
        <v>9</v>
      </c>
      <c r="C31" s="58"/>
      <c r="D31" s="115"/>
      <c r="E31" s="369"/>
      <c r="F31" s="368">
        <f t="shared" si="2"/>
        <v>0</v>
      </c>
      <c r="G31" s="400"/>
      <c r="H31" s="407">
        <f t="shared" si="1"/>
        <v>0</v>
      </c>
      <c r="I31" s="400"/>
      <c r="J31" s="400">
        <f t="shared" si="0"/>
        <v>0</v>
      </c>
    </row>
    <row r="32" spans="1:10" ht="18.75" customHeight="1">
      <c r="A32" s="141">
        <v>2.0299999999999998</v>
      </c>
      <c r="B32" s="15" t="s">
        <v>96</v>
      </c>
      <c r="C32" s="34" t="s">
        <v>1</v>
      </c>
      <c r="D32" s="120">
        <f>(0.75*0.75)*5</f>
        <v>2.8125</v>
      </c>
      <c r="E32" s="367">
        <v>958.33333333333337</v>
      </c>
      <c r="F32" s="367">
        <f t="shared" si="2"/>
        <v>2695.3125</v>
      </c>
      <c r="G32" s="403"/>
      <c r="H32" s="408">
        <f t="shared" si="1"/>
        <v>0</v>
      </c>
      <c r="I32" s="403">
        <v>2000</v>
      </c>
      <c r="J32" s="403">
        <f t="shared" si="0"/>
        <v>5625</v>
      </c>
    </row>
    <row r="33" spans="1:10" ht="18.75" customHeight="1">
      <c r="A33" s="142"/>
      <c r="B33" s="7" t="s">
        <v>2</v>
      </c>
      <c r="C33" s="8"/>
      <c r="D33" s="113"/>
      <c r="E33" s="368"/>
      <c r="F33" s="368">
        <f t="shared" si="2"/>
        <v>0</v>
      </c>
      <c r="G33" s="400"/>
      <c r="H33" s="407">
        <f t="shared" si="1"/>
        <v>0</v>
      </c>
      <c r="I33" s="400"/>
      <c r="J33" s="400">
        <f t="shared" si="0"/>
        <v>0</v>
      </c>
    </row>
    <row r="34" spans="1:10" ht="18.75" customHeight="1">
      <c r="A34" s="142"/>
      <c r="B34" s="46" t="s">
        <v>3</v>
      </c>
      <c r="C34" s="8" t="s">
        <v>4</v>
      </c>
      <c r="D34" s="113">
        <f>D32/10</f>
        <v>0.28125</v>
      </c>
      <c r="E34" s="368">
        <v>8500</v>
      </c>
      <c r="F34" s="368">
        <f t="shared" si="2"/>
        <v>2390.625</v>
      </c>
      <c r="G34" s="400">
        <v>12000</v>
      </c>
      <c r="H34" s="407">
        <f t="shared" si="1"/>
        <v>3375</v>
      </c>
      <c r="I34" s="400">
        <v>18000</v>
      </c>
      <c r="J34" s="400">
        <f t="shared" si="0"/>
        <v>5062.5</v>
      </c>
    </row>
    <row r="35" spans="1:10" ht="18.75" customHeight="1">
      <c r="A35" s="148"/>
      <c r="B35" s="57" t="s">
        <v>5</v>
      </c>
      <c r="C35" s="11"/>
      <c r="D35" s="116"/>
      <c r="E35" s="378"/>
      <c r="F35" s="368">
        <f t="shared" si="2"/>
        <v>0</v>
      </c>
      <c r="G35" s="400"/>
      <c r="H35" s="407">
        <f t="shared" si="1"/>
        <v>0</v>
      </c>
      <c r="I35" s="400"/>
      <c r="J35" s="400">
        <f t="shared" si="0"/>
        <v>0</v>
      </c>
    </row>
    <row r="36" spans="1:10" ht="18.75" customHeight="1">
      <c r="A36" s="148"/>
      <c r="B36" s="57"/>
      <c r="C36" s="11"/>
      <c r="D36" s="116"/>
      <c r="E36" s="378"/>
      <c r="F36" s="368">
        <f t="shared" si="2"/>
        <v>0</v>
      </c>
      <c r="G36" s="400"/>
      <c r="H36" s="407">
        <f t="shared" si="1"/>
        <v>0</v>
      </c>
      <c r="I36" s="400"/>
      <c r="J36" s="400">
        <f t="shared" si="0"/>
        <v>0</v>
      </c>
    </row>
    <row r="37" spans="1:10" ht="18.75" customHeight="1">
      <c r="A37" s="142"/>
      <c r="B37" s="7" t="s">
        <v>6</v>
      </c>
      <c r="C37" s="8"/>
      <c r="D37" s="113"/>
      <c r="E37" s="368"/>
      <c r="F37" s="368">
        <f t="shared" si="2"/>
        <v>0</v>
      </c>
      <c r="G37" s="400"/>
      <c r="H37" s="407">
        <f t="shared" si="1"/>
        <v>0</v>
      </c>
      <c r="I37" s="400"/>
      <c r="J37" s="400">
        <f t="shared" si="0"/>
        <v>0</v>
      </c>
    </row>
    <row r="38" spans="1:10" ht="18.75" customHeight="1">
      <c r="A38" s="142"/>
      <c r="B38" s="12" t="s">
        <v>7</v>
      </c>
      <c r="C38" s="8" t="s">
        <v>8</v>
      </c>
      <c r="D38" s="113">
        <f>D32/60</f>
        <v>4.6875E-2</v>
      </c>
      <c r="E38" s="368">
        <v>6500</v>
      </c>
      <c r="F38" s="368">
        <f t="shared" si="2"/>
        <v>304.6875</v>
      </c>
      <c r="G38" s="400">
        <v>5000</v>
      </c>
      <c r="H38" s="407">
        <f t="shared" si="1"/>
        <v>234.375</v>
      </c>
      <c r="I38" s="400">
        <v>12000</v>
      </c>
      <c r="J38" s="400">
        <f t="shared" si="0"/>
        <v>562.5</v>
      </c>
    </row>
    <row r="39" spans="1:10" ht="18.75" customHeight="1">
      <c r="A39" s="144"/>
      <c r="B39" s="57" t="s">
        <v>9</v>
      </c>
      <c r="C39" s="58"/>
      <c r="D39" s="115"/>
      <c r="E39" s="369"/>
      <c r="F39" s="368">
        <f t="shared" si="2"/>
        <v>0</v>
      </c>
      <c r="G39" s="400"/>
      <c r="H39" s="407">
        <f t="shared" si="1"/>
        <v>0</v>
      </c>
      <c r="I39" s="400"/>
      <c r="J39" s="400">
        <f t="shared" si="0"/>
        <v>0</v>
      </c>
    </row>
    <row r="40" spans="1:10" ht="18.75" customHeight="1">
      <c r="A40" s="144"/>
      <c r="B40" s="57"/>
      <c r="C40" s="58"/>
      <c r="D40" s="115"/>
      <c r="E40" s="369"/>
      <c r="F40" s="368">
        <f t="shared" si="2"/>
        <v>0</v>
      </c>
      <c r="G40" s="400"/>
      <c r="H40" s="407">
        <f t="shared" si="1"/>
        <v>0</v>
      </c>
      <c r="I40" s="400"/>
      <c r="J40" s="400">
        <f t="shared" si="0"/>
        <v>0</v>
      </c>
    </row>
    <row r="41" spans="1:10" ht="18.75" customHeight="1">
      <c r="A41" s="149">
        <v>3</v>
      </c>
      <c r="B41" s="474" t="s">
        <v>77</v>
      </c>
      <c r="C41" s="474"/>
      <c r="D41" s="474"/>
      <c r="E41" s="372"/>
      <c r="F41" s="368">
        <f t="shared" si="2"/>
        <v>0</v>
      </c>
      <c r="G41" s="400"/>
      <c r="H41" s="407">
        <f t="shared" si="1"/>
        <v>0</v>
      </c>
      <c r="I41" s="400"/>
      <c r="J41" s="400">
        <f t="shared" si="0"/>
        <v>0</v>
      </c>
    </row>
    <row r="42" spans="1:10" ht="18.75" customHeight="1">
      <c r="A42" s="141">
        <v>3.01</v>
      </c>
      <c r="B42" s="15" t="s">
        <v>71</v>
      </c>
      <c r="C42" s="3" t="s">
        <v>1</v>
      </c>
      <c r="D42" s="112">
        <f>23*0.4</f>
        <v>9.2000000000000011</v>
      </c>
      <c r="E42" s="371">
        <v>4696.6302564102562</v>
      </c>
      <c r="F42" s="367">
        <f t="shared" si="2"/>
        <v>43208.998358974364</v>
      </c>
      <c r="G42" s="403"/>
      <c r="H42" s="408">
        <f t="shared" si="1"/>
        <v>0</v>
      </c>
      <c r="I42" s="403">
        <v>8522.81558974359</v>
      </c>
      <c r="J42" s="403">
        <f t="shared" si="0"/>
        <v>78409.903425641038</v>
      </c>
    </row>
    <row r="43" spans="1:10" ht="18.75" customHeight="1">
      <c r="A43" s="150"/>
      <c r="B43" s="18"/>
      <c r="C43" s="19" t="s">
        <v>10</v>
      </c>
      <c r="D43" s="130">
        <f>D42*0.05</f>
        <v>0.46000000000000008</v>
      </c>
      <c r="E43" s="373"/>
      <c r="F43" s="368">
        <f t="shared" si="2"/>
        <v>0</v>
      </c>
      <c r="G43" s="400"/>
      <c r="H43" s="407">
        <f t="shared" si="1"/>
        <v>0</v>
      </c>
      <c r="I43" s="400">
        <v>170454</v>
      </c>
      <c r="J43" s="400">
        <f t="shared" si="0"/>
        <v>78408.840000000011</v>
      </c>
    </row>
    <row r="44" spans="1:10" s="78" customFormat="1" ht="18.75" customHeight="1">
      <c r="A44" s="151"/>
      <c r="B44" s="93" t="s">
        <v>2</v>
      </c>
      <c r="C44" s="22"/>
      <c r="D44" s="113"/>
      <c r="E44" s="374"/>
      <c r="F44" s="368">
        <f t="shared" si="2"/>
        <v>0</v>
      </c>
      <c r="G44" s="413"/>
      <c r="H44" s="407">
        <f t="shared" si="1"/>
        <v>0</v>
      </c>
      <c r="I44" s="413"/>
      <c r="J44" s="400">
        <f t="shared" si="0"/>
        <v>0</v>
      </c>
    </row>
    <row r="45" spans="1:10" ht="18.75" customHeight="1">
      <c r="A45" s="151"/>
      <c r="B45" s="94" t="s">
        <v>11</v>
      </c>
      <c r="C45" s="22" t="s">
        <v>12</v>
      </c>
      <c r="D45" s="113">
        <f>D43*(1/13)*1.57*(1440/50)</f>
        <v>1.5999507692307695</v>
      </c>
      <c r="E45" s="374">
        <v>11200</v>
      </c>
      <c r="F45" s="368">
        <f t="shared" si="2"/>
        <v>17919.448615384619</v>
      </c>
      <c r="G45" s="400">
        <v>14000</v>
      </c>
      <c r="H45" s="407">
        <f t="shared" si="1"/>
        <v>22399.310769230775</v>
      </c>
      <c r="I45" s="400">
        <v>13500</v>
      </c>
      <c r="J45" s="400">
        <f t="shared" si="0"/>
        <v>21599.335384615388</v>
      </c>
    </row>
    <row r="46" spans="1:10" ht="18.75" customHeight="1">
      <c r="A46" s="151"/>
      <c r="B46" s="94" t="s">
        <v>13</v>
      </c>
      <c r="C46" s="22" t="s">
        <v>10</v>
      </c>
      <c r="D46" s="113">
        <f>D43*(4/13)*1.57</f>
        <v>0.22221538461538465</v>
      </c>
      <c r="E46" s="374">
        <v>30500</v>
      </c>
      <c r="F46" s="368">
        <f t="shared" si="2"/>
        <v>6777.5692307692316</v>
      </c>
      <c r="G46" s="400">
        <v>25000</v>
      </c>
      <c r="H46" s="407">
        <f t="shared" si="1"/>
        <v>5555.3846153846162</v>
      </c>
      <c r="I46" s="400">
        <v>40000</v>
      </c>
      <c r="J46" s="400">
        <f t="shared" si="0"/>
        <v>8888.6153846153866</v>
      </c>
    </row>
    <row r="47" spans="1:10" ht="18.75" customHeight="1">
      <c r="A47" s="151"/>
      <c r="B47" s="94" t="s">
        <v>14</v>
      </c>
      <c r="C47" s="22" t="s">
        <v>10</v>
      </c>
      <c r="D47" s="113">
        <f>D43*(8/13)*1.57</f>
        <v>0.4444307692307693</v>
      </c>
      <c r="E47" s="374">
        <v>32300</v>
      </c>
      <c r="F47" s="368">
        <f t="shared" si="2"/>
        <v>14355.113846153848</v>
      </c>
      <c r="G47" s="400">
        <v>27000</v>
      </c>
      <c r="H47" s="407">
        <f t="shared" si="1"/>
        <v>11999.630769230771</v>
      </c>
      <c r="I47" s="400">
        <v>48312</v>
      </c>
      <c r="J47" s="400">
        <f t="shared" si="0"/>
        <v>21471.339323076925</v>
      </c>
    </row>
    <row r="48" spans="1:10" ht="18.75" customHeight="1">
      <c r="A48" s="151"/>
      <c r="B48" s="94" t="s">
        <v>15</v>
      </c>
      <c r="C48" s="22" t="s">
        <v>16</v>
      </c>
      <c r="D48" s="113">
        <f>D52*10</f>
        <v>0.76666666666666672</v>
      </c>
      <c r="E48" s="374">
        <v>2200</v>
      </c>
      <c r="F48" s="368">
        <f t="shared" si="2"/>
        <v>1686.6666666666667</v>
      </c>
      <c r="G48" s="400">
        <v>2000</v>
      </c>
      <c r="H48" s="407">
        <f t="shared" si="1"/>
        <v>1533.3333333333335</v>
      </c>
      <c r="I48" s="400">
        <v>2000</v>
      </c>
      <c r="J48" s="400">
        <f t="shared" si="0"/>
        <v>1533.3333333333335</v>
      </c>
    </row>
    <row r="49" spans="1:10" ht="18.75" customHeight="1">
      <c r="A49" s="152"/>
      <c r="B49" s="93" t="s">
        <v>18</v>
      </c>
      <c r="C49" s="27"/>
      <c r="D49" s="116"/>
      <c r="E49" s="381"/>
      <c r="F49" s="368">
        <f t="shared" si="2"/>
        <v>0</v>
      </c>
      <c r="G49" s="400"/>
      <c r="H49" s="407">
        <f t="shared" si="1"/>
        <v>0</v>
      </c>
      <c r="I49" s="400"/>
      <c r="J49" s="400">
        <f t="shared" si="0"/>
        <v>0</v>
      </c>
    </row>
    <row r="50" spans="1:10" ht="18.75" customHeight="1">
      <c r="A50" s="151"/>
      <c r="B50" s="94"/>
      <c r="C50" s="22"/>
      <c r="D50" s="113"/>
      <c r="E50" s="374"/>
      <c r="F50" s="368">
        <f t="shared" si="2"/>
        <v>0</v>
      </c>
      <c r="G50" s="400"/>
      <c r="H50" s="407">
        <f t="shared" si="1"/>
        <v>0</v>
      </c>
      <c r="I50" s="400"/>
      <c r="J50" s="400">
        <f t="shared" si="0"/>
        <v>0</v>
      </c>
    </row>
    <row r="51" spans="1:10" ht="18.75" customHeight="1">
      <c r="A51" s="151"/>
      <c r="B51" s="93" t="s">
        <v>19</v>
      </c>
      <c r="C51" s="22"/>
      <c r="D51" s="113"/>
      <c r="E51" s="374"/>
      <c r="F51" s="368">
        <f t="shared" si="2"/>
        <v>0</v>
      </c>
      <c r="G51" s="400"/>
      <c r="H51" s="407">
        <f t="shared" si="1"/>
        <v>0</v>
      </c>
      <c r="I51" s="400"/>
      <c r="J51" s="400">
        <f t="shared" si="0"/>
        <v>0</v>
      </c>
    </row>
    <row r="52" spans="1:10" ht="18.75" customHeight="1">
      <c r="A52" s="151"/>
      <c r="B52" s="94" t="s">
        <v>20</v>
      </c>
      <c r="C52" s="22" t="s">
        <v>21</v>
      </c>
      <c r="D52" s="113">
        <f>D43/6</f>
        <v>7.6666666666666675E-2</v>
      </c>
      <c r="E52" s="374">
        <v>5050</v>
      </c>
      <c r="F52" s="368">
        <f t="shared" si="2"/>
        <v>387.16666666666669</v>
      </c>
      <c r="G52" s="400">
        <v>50000</v>
      </c>
      <c r="H52" s="407">
        <f t="shared" si="1"/>
        <v>3833.3333333333339</v>
      </c>
      <c r="I52" s="400">
        <v>80000</v>
      </c>
      <c r="J52" s="400">
        <f t="shared" si="0"/>
        <v>6133.3333333333339</v>
      </c>
    </row>
    <row r="53" spans="1:10" ht="18.75" customHeight="1">
      <c r="A53" s="152"/>
      <c r="B53" s="93" t="s">
        <v>23</v>
      </c>
      <c r="C53" s="27"/>
      <c r="D53" s="116"/>
      <c r="E53" s="381"/>
      <c r="F53" s="368">
        <f t="shared" si="2"/>
        <v>0</v>
      </c>
      <c r="G53" s="400"/>
      <c r="H53" s="407">
        <f t="shared" si="1"/>
        <v>0</v>
      </c>
      <c r="I53" s="400"/>
      <c r="J53" s="400">
        <f t="shared" si="0"/>
        <v>0</v>
      </c>
    </row>
    <row r="54" spans="1:10" ht="18.75" customHeight="1">
      <c r="A54" s="151"/>
      <c r="B54" s="94"/>
      <c r="C54" s="22"/>
      <c r="D54" s="113"/>
      <c r="E54" s="374"/>
      <c r="F54" s="368">
        <f t="shared" si="2"/>
        <v>0</v>
      </c>
      <c r="G54" s="400"/>
      <c r="H54" s="407">
        <f t="shared" si="1"/>
        <v>0</v>
      </c>
      <c r="I54" s="400"/>
      <c r="J54" s="400">
        <f t="shared" si="0"/>
        <v>0</v>
      </c>
    </row>
    <row r="55" spans="1:10" ht="18.75" customHeight="1">
      <c r="A55" s="151"/>
      <c r="B55" s="93" t="s">
        <v>6</v>
      </c>
      <c r="C55" s="22"/>
      <c r="D55" s="113"/>
      <c r="E55" s="374"/>
      <c r="F55" s="368">
        <f t="shared" si="2"/>
        <v>0</v>
      </c>
      <c r="G55" s="400"/>
      <c r="H55" s="407">
        <f t="shared" si="1"/>
        <v>0</v>
      </c>
      <c r="I55" s="400"/>
      <c r="J55" s="400">
        <f t="shared" si="0"/>
        <v>0</v>
      </c>
    </row>
    <row r="56" spans="1:10" ht="18.75" customHeight="1">
      <c r="A56" s="151"/>
      <c r="B56" s="94" t="s">
        <v>24</v>
      </c>
      <c r="C56" s="22" t="s">
        <v>21</v>
      </c>
      <c r="D56" s="113">
        <f>(D43/6)*2</f>
        <v>0.15333333333333335</v>
      </c>
      <c r="E56" s="374">
        <v>1300</v>
      </c>
      <c r="F56" s="368">
        <f t="shared" si="2"/>
        <v>199.33333333333334</v>
      </c>
      <c r="G56" s="400">
        <v>10000</v>
      </c>
      <c r="H56" s="407">
        <f t="shared" si="1"/>
        <v>1533.3333333333335</v>
      </c>
      <c r="I56" s="400">
        <v>40909</v>
      </c>
      <c r="J56" s="400">
        <f t="shared" si="0"/>
        <v>6272.713333333334</v>
      </c>
    </row>
    <row r="57" spans="1:10" ht="18.75" customHeight="1">
      <c r="A57" s="151"/>
      <c r="B57" s="94" t="s">
        <v>25</v>
      </c>
      <c r="C57" s="22" t="s">
        <v>21</v>
      </c>
      <c r="D57" s="113">
        <f>(D43/6)*18</f>
        <v>1.3800000000000001</v>
      </c>
      <c r="E57" s="374">
        <v>1280</v>
      </c>
      <c r="F57" s="368">
        <f t="shared" si="2"/>
        <v>1766.4</v>
      </c>
      <c r="G57" s="400">
        <v>5000</v>
      </c>
      <c r="H57" s="407">
        <f t="shared" si="1"/>
        <v>6900.0000000000009</v>
      </c>
      <c r="I57" s="400">
        <v>7955</v>
      </c>
      <c r="J57" s="400">
        <f t="shared" si="0"/>
        <v>10977.900000000001</v>
      </c>
    </row>
    <row r="58" spans="1:10" ht="18.75" customHeight="1">
      <c r="A58" s="151"/>
      <c r="B58" s="94" t="s">
        <v>26</v>
      </c>
      <c r="C58" s="22" t="s">
        <v>21</v>
      </c>
      <c r="D58" s="113">
        <f>D52</f>
        <v>7.6666666666666675E-2</v>
      </c>
      <c r="E58" s="374">
        <v>1530</v>
      </c>
      <c r="F58" s="368">
        <f t="shared" si="2"/>
        <v>117.30000000000001</v>
      </c>
      <c r="G58" s="400">
        <v>20000</v>
      </c>
      <c r="H58" s="407">
        <f t="shared" si="1"/>
        <v>1533.3333333333335</v>
      </c>
      <c r="I58" s="400">
        <v>20000</v>
      </c>
      <c r="J58" s="400">
        <f t="shared" si="0"/>
        <v>1533.3333333333335</v>
      </c>
    </row>
    <row r="59" spans="1:10" ht="18.75" customHeight="1">
      <c r="A59" s="152"/>
      <c r="B59" s="93" t="s">
        <v>27</v>
      </c>
      <c r="C59" s="27"/>
      <c r="D59" s="116"/>
      <c r="E59" s="381"/>
      <c r="F59" s="368">
        <f t="shared" si="2"/>
        <v>0</v>
      </c>
      <c r="G59" s="400"/>
      <c r="H59" s="407">
        <f t="shared" si="1"/>
        <v>0</v>
      </c>
      <c r="I59" s="400"/>
      <c r="J59" s="400">
        <f t="shared" si="0"/>
        <v>0</v>
      </c>
    </row>
    <row r="60" spans="1:10" ht="18.75" customHeight="1">
      <c r="A60" s="141">
        <v>3.02</v>
      </c>
      <c r="B60" s="15" t="s">
        <v>98</v>
      </c>
      <c r="C60" s="3" t="s">
        <v>1</v>
      </c>
      <c r="D60" s="112">
        <f>(0.75*0.75)*5</f>
        <v>2.8125</v>
      </c>
      <c r="E60" s="371">
        <v>4619.1302564102562</v>
      </c>
      <c r="F60" s="367">
        <f t="shared" si="2"/>
        <v>12991.303846153845</v>
      </c>
      <c r="G60" s="403"/>
      <c r="H60" s="408">
        <f t="shared" si="1"/>
        <v>0</v>
      </c>
      <c r="I60" s="403">
        <v>8522.81558974359</v>
      </c>
      <c r="J60" s="403">
        <f t="shared" si="0"/>
        <v>23970.418846153847</v>
      </c>
    </row>
    <row r="61" spans="1:10" ht="18.75" customHeight="1">
      <c r="A61" s="150"/>
      <c r="B61" s="18"/>
      <c r="C61" s="19" t="s">
        <v>10</v>
      </c>
      <c r="D61" s="130">
        <f>D60*0.05</f>
        <v>0.140625</v>
      </c>
      <c r="E61" s="373"/>
      <c r="F61" s="368">
        <f t="shared" si="2"/>
        <v>0</v>
      </c>
      <c r="G61" s="400"/>
      <c r="H61" s="407">
        <f t="shared" si="1"/>
        <v>0</v>
      </c>
      <c r="I61" s="400">
        <v>170454</v>
      </c>
      <c r="J61" s="400">
        <f t="shared" si="0"/>
        <v>23970.09375</v>
      </c>
    </row>
    <row r="62" spans="1:10" ht="18.75" customHeight="1">
      <c r="A62" s="151"/>
      <c r="B62" s="93" t="s">
        <v>2</v>
      </c>
      <c r="C62" s="22"/>
      <c r="D62" s="113"/>
      <c r="E62" s="374"/>
      <c r="F62" s="368">
        <f t="shared" si="2"/>
        <v>0</v>
      </c>
      <c r="G62" s="400"/>
      <c r="H62" s="407">
        <f t="shared" si="1"/>
        <v>0</v>
      </c>
      <c r="I62" s="400"/>
      <c r="J62" s="400">
        <f t="shared" si="0"/>
        <v>0</v>
      </c>
    </row>
    <row r="63" spans="1:10" ht="18.75" customHeight="1">
      <c r="A63" s="151"/>
      <c r="B63" s="94" t="s">
        <v>11</v>
      </c>
      <c r="C63" s="22" t="s">
        <v>12</v>
      </c>
      <c r="D63" s="113">
        <f>D61*(1/13)*1.57*(1440/50)</f>
        <v>0.48911538461538462</v>
      </c>
      <c r="E63" s="374">
        <v>11200</v>
      </c>
      <c r="F63" s="368">
        <f t="shared" si="2"/>
        <v>5478.0923076923082</v>
      </c>
      <c r="G63" s="400">
        <v>14000</v>
      </c>
      <c r="H63" s="407">
        <f t="shared" si="1"/>
        <v>6847.6153846153848</v>
      </c>
      <c r="I63" s="400">
        <v>13500</v>
      </c>
      <c r="J63" s="400">
        <f t="shared" si="0"/>
        <v>6603.0576923076924</v>
      </c>
    </row>
    <row r="64" spans="1:10" ht="18.75" customHeight="1">
      <c r="A64" s="151"/>
      <c r="B64" s="94" t="s">
        <v>13</v>
      </c>
      <c r="C64" s="22" t="s">
        <v>10</v>
      </c>
      <c r="D64" s="113">
        <f>D61*(4/13)*1.57</f>
        <v>6.7932692307692305E-2</v>
      </c>
      <c r="E64" s="374">
        <v>30500</v>
      </c>
      <c r="F64" s="368">
        <f t="shared" si="2"/>
        <v>2071.9471153846152</v>
      </c>
      <c r="G64" s="400">
        <v>25000</v>
      </c>
      <c r="H64" s="407">
        <f t="shared" si="1"/>
        <v>1698.3173076923076</v>
      </c>
      <c r="I64" s="400">
        <v>40000</v>
      </c>
      <c r="J64" s="400">
        <f t="shared" si="0"/>
        <v>2717.3076923076924</v>
      </c>
    </row>
    <row r="65" spans="1:10" ht="18.75" customHeight="1">
      <c r="A65" s="151"/>
      <c r="B65" s="94" t="s">
        <v>14</v>
      </c>
      <c r="C65" s="22" t="s">
        <v>10</v>
      </c>
      <c r="D65" s="113">
        <f>D61*(8/13)*1.57</f>
        <v>0.13586538461538461</v>
      </c>
      <c r="E65" s="374">
        <v>32300</v>
      </c>
      <c r="F65" s="368">
        <f t="shared" si="2"/>
        <v>4388.4519230769229</v>
      </c>
      <c r="G65" s="400">
        <v>27000</v>
      </c>
      <c r="H65" s="407">
        <f t="shared" si="1"/>
        <v>3668.3653846153843</v>
      </c>
      <c r="I65" s="400">
        <v>48312</v>
      </c>
      <c r="J65" s="400">
        <f t="shared" si="0"/>
        <v>6563.9284615384613</v>
      </c>
    </row>
    <row r="66" spans="1:10" ht="18.75" customHeight="1">
      <c r="A66" s="151"/>
      <c r="B66" s="94" t="s">
        <v>15</v>
      </c>
      <c r="C66" s="22" t="s">
        <v>16</v>
      </c>
      <c r="D66" s="113">
        <f>D70*10</f>
        <v>0.234375</v>
      </c>
      <c r="E66" s="374">
        <v>2200</v>
      </c>
      <c r="F66" s="368">
        <f t="shared" si="2"/>
        <v>515.625</v>
      </c>
      <c r="G66" s="400">
        <v>2000</v>
      </c>
      <c r="H66" s="407">
        <f t="shared" si="1"/>
        <v>468.75</v>
      </c>
      <c r="I66" s="400">
        <v>2000</v>
      </c>
      <c r="J66" s="400">
        <f t="shared" si="0"/>
        <v>468.75</v>
      </c>
    </row>
    <row r="67" spans="1:10" ht="18.75" customHeight="1">
      <c r="A67" s="152"/>
      <c r="B67" s="93" t="s">
        <v>18</v>
      </c>
      <c r="C67" s="27"/>
      <c r="D67" s="116"/>
      <c r="E67" s="381"/>
      <c r="F67" s="368">
        <f t="shared" si="2"/>
        <v>0</v>
      </c>
      <c r="G67" s="400"/>
      <c r="H67" s="407">
        <f t="shared" si="1"/>
        <v>0</v>
      </c>
      <c r="I67" s="400"/>
      <c r="J67" s="400">
        <f t="shared" si="0"/>
        <v>0</v>
      </c>
    </row>
    <row r="68" spans="1:10" ht="18" customHeight="1">
      <c r="A68" s="151"/>
      <c r="B68" s="94"/>
      <c r="C68" s="22"/>
      <c r="D68" s="113"/>
      <c r="E68" s="374"/>
      <c r="F68" s="368">
        <f t="shared" si="2"/>
        <v>0</v>
      </c>
      <c r="G68" s="400"/>
      <c r="H68" s="407">
        <f t="shared" si="1"/>
        <v>0</v>
      </c>
      <c r="I68" s="400"/>
      <c r="J68" s="400">
        <f t="shared" si="0"/>
        <v>0</v>
      </c>
    </row>
    <row r="69" spans="1:10" ht="18" customHeight="1">
      <c r="A69" s="151"/>
      <c r="B69" s="93" t="s">
        <v>19</v>
      </c>
      <c r="C69" s="22"/>
      <c r="D69" s="113"/>
      <c r="E69" s="374"/>
      <c r="F69" s="368">
        <f t="shared" si="2"/>
        <v>0</v>
      </c>
      <c r="G69" s="400"/>
      <c r="H69" s="407">
        <f t="shared" si="1"/>
        <v>0</v>
      </c>
      <c r="I69" s="400"/>
      <c r="J69" s="400">
        <f t="shared" ref="J69:J132" si="3">D69*I69</f>
        <v>0</v>
      </c>
    </row>
    <row r="70" spans="1:10" ht="18" customHeight="1">
      <c r="A70" s="151"/>
      <c r="B70" s="94" t="s">
        <v>20</v>
      </c>
      <c r="C70" s="22" t="s">
        <v>21</v>
      </c>
      <c r="D70" s="113">
        <f>D61/6</f>
        <v>2.34375E-2</v>
      </c>
      <c r="E70" s="374">
        <v>5050</v>
      </c>
      <c r="F70" s="368">
        <f t="shared" si="2"/>
        <v>118.359375</v>
      </c>
      <c r="G70" s="400">
        <v>50000</v>
      </c>
      <c r="H70" s="407">
        <f t="shared" si="1"/>
        <v>1171.875</v>
      </c>
      <c r="I70" s="400">
        <v>80000</v>
      </c>
      <c r="J70" s="400">
        <f t="shared" si="3"/>
        <v>1875</v>
      </c>
    </row>
    <row r="71" spans="1:10" ht="18" customHeight="1">
      <c r="A71" s="152"/>
      <c r="B71" s="93" t="s">
        <v>23</v>
      </c>
      <c r="C71" s="27"/>
      <c r="D71" s="116"/>
      <c r="E71" s="381"/>
      <c r="F71" s="368">
        <f t="shared" si="2"/>
        <v>0</v>
      </c>
      <c r="G71" s="400"/>
      <c r="H71" s="407">
        <f t="shared" ref="H71:H134" si="4">G71*D71</f>
        <v>0</v>
      </c>
      <c r="I71" s="400"/>
      <c r="J71" s="400">
        <f t="shared" si="3"/>
        <v>0</v>
      </c>
    </row>
    <row r="72" spans="1:10" ht="18" customHeight="1">
      <c r="A72" s="151"/>
      <c r="B72" s="94"/>
      <c r="C72" s="22"/>
      <c r="D72" s="113"/>
      <c r="E72" s="374"/>
      <c r="F72" s="368">
        <f t="shared" ref="F72:F135" si="5">D72*E72</f>
        <v>0</v>
      </c>
      <c r="G72" s="400"/>
      <c r="H72" s="407">
        <f t="shared" si="4"/>
        <v>0</v>
      </c>
      <c r="I72" s="400"/>
      <c r="J72" s="400">
        <f t="shared" si="3"/>
        <v>0</v>
      </c>
    </row>
    <row r="73" spans="1:10" ht="18" customHeight="1">
      <c r="A73" s="151"/>
      <c r="B73" s="93" t="s">
        <v>6</v>
      </c>
      <c r="C73" s="22"/>
      <c r="D73" s="113"/>
      <c r="E73" s="374"/>
      <c r="F73" s="368">
        <f t="shared" si="5"/>
        <v>0</v>
      </c>
      <c r="G73" s="400"/>
      <c r="H73" s="407">
        <f t="shared" si="4"/>
        <v>0</v>
      </c>
      <c r="I73" s="400"/>
      <c r="J73" s="400">
        <f t="shared" si="3"/>
        <v>0</v>
      </c>
    </row>
    <row r="74" spans="1:10" ht="18" customHeight="1">
      <c r="A74" s="151"/>
      <c r="B74" s="94" t="s">
        <v>24</v>
      </c>
      <c r="C74" s="22" t="s">
        <v>21</v>
      </c>
      <c r="D74" s="113">
        <f>(D61/6)*2</f>
        <v>4.6875E-2</v>
      </c>
      <c r="E74" s="374">
        <v>1500</v>
      </c>
      <c r="F74" s="368">
        <f t="shared" si="5"/>
        <v>70.3125</v>
      </c>
      <c r="G74" s="400">
        <v>10000</v>
      </c>
      <c r="H74" s="407">
        <f t="shared" si="4"/>
        <v>468.75</v>
      </c>
      <c r="I74" s="400">
        <v>40909</v>
      </c>
      <c r="J74" s="400">
        <f t="shared" si="3"/>
        <v>1917.609375</v>
      </c>
    </row>
    <row r="75" spans="1:10" ht="18" customHeight="1">
      <c r="A75" s="151"/>
      <c r="B75" s="94" t="s">
        <v>25</v>
      </c>
      <c r="C75" s="22" t="s">
        <v>21</v>
      </c>
      <c r="D75" s="113">
        <f>(D61/6)*18</f>
        <v>0.421875</v>
      </c>
      <c r="E75" s="374">
        <v>780</v>
      </c>
      <c r="F75" s="368">
        <f t="shared" si="5"/>
        <v>329.0625</v>
      </c>
      <c r="G75" s="400">
        <v>5000</v>
      </c>
      <c r="H75" s="407">
        <f t="shared" si="4"/>
        <v>2109.375</v>
      </c>
      <c r="I75" s="400">
        <v>7955</v>
      </c>
      <c r="J75" s="400">
        <f t="shared" si="3"/>
        <v>3356.015625</v>
      </c>
    </row>
    <row r="76" spans="1:10" ht="18" customHeight="1">
      <c r="A76" s="151"/>
      <c r="B76" s="94" t="s">
        <v>26</v>
      </c>
      <c r="C76" s="22" t="s">
        <v>21</v>
      </c>
      <c r="D76" s="113">
        <f>D70</f>
        <v>2.34375E-2</v>
      </c>
      <c r="E76" s="374">
        <v>830</v>
      </c>
      <c r="F76" s="368">
        <f t="shared" si="5"/>
        <v>19.453125</v>
      </c>
      <c r="G76" s="400">
        <v>20000</v>
      </c>
      <c r="H76" s="407">
        <f t="shared" si="4"/>
        <v>468.75</v>
      </c>
      <c r="I76" s="400">
        <v>20000</v>
      </c>
      <c r="J76" s="400">
        <f t="shared" si="3"/>
        <v>468.75</v>
      </c>
    </row>
    <row r="77" spans="1:10" ht="18" customHeight="1">
      <c r="A77" s="152"/>
      <c r="B77" s="93" t="s">
        <v>27</v>
      </c>
      <c r="C77" s="27"/>
      <c r="D77" s="116"/>
      <c r="E77" s="381"/>
      <c r="F77" s="368">
        <f t="shared" si="5"/>
        <v>0</v>
      </c>
      <c r="G77" s="400"/>
      <c r="H77" s="407">
        <f t="shared" si="4"/>
        <v>0</v>
      </c>
      <c r="I77" s="400"/>
      <c r="J77" s="400">
        <f t="shared" si="3"/>
        <v>0</v>
      </c>
    </row>
    <row r="78" spans="1:10" ht="18" customHeight="1">
      <c r="A78" s="152"/>
      <c r="B78" s="93"/>
      <c r="C78" s="27"/>
      <c r="D78" s="116"/>
      <c r="E78" s="381"/>
      <c r="F78" s="368">
        <f t="shared" si="5"/>
        <v>0</v>
      </c>
      <c r="G78" s="400"/>
      <c r="H78" s="407">
        <f t="shared" si="4"/>
        <v>0</v>
      </c>
      <c r="I78" s="400"/>
      <c r="J78" s="400">
        <f t="shared" si="3"/>
        <v>0</v>
      </c>
    </row>
    <row r="79" spans="1:10" ht="18" customHeight="1">
      <c r="A79" s="153">
        <v>4</v>
      </c>
      <c r="B79" s="475" t="s">
        <v>82</v>
      </c>
      <c r="C79" s="475"/>
      <c r="D79" s="475"/>
      <c r="E79" s="376"/>
      <c r="F79" s="368">
        <f t="shared" si="5"/>
        <v>0</v>
      </c>
      <c r="G79" s="400"/>
      <c r="H79" s="407">
        <f t="shared" si="4"/>
        <v>0</v>
      </c>
      <c r="I79" s="400"/>
      <c r="J79" s="400">
        <f t="shared" si="3"/>
        <v>0</v>
      </c>
    </row>
    <row r="80" spans="1:10" ht="18" customHeight="1">
      <c r="A80" s="141">
        <v>4.01</v>
      </c>
      <c r="B80" s="95" t="s">
        <v>83</v>
      </c>
      <c r="C80" s="65" t="s">
        <v>50</v>
      </c>
      <c r="D80" s="120">
        <f>((0.75*0.2)*4)*5</f>
        <v>3.0000000000000004</v>
      </c>
      <c r="E80" s="375">
        <v>10724.305555555555</v>
      </c>
      <c r="F80" s="367">
        <f t="shared" si="5"/>
        <v>32172.916666666668</v>
      </c>
      <c r="G80" s="403"/>
      <c r="H80" s="408">
        <f t="shared" si="4"/>
        <v>0</v>
      </c>
      <c r="I80" s="403">
        <v>9023.6111111111113</v>
      </c>
      <c r="J80" s="403">
        <f t="shared" si="3"/>
        <v>27070.833333333339</v>
      </c>
    </row>
    <row r="81" spans="1:10" ht="18" customHeight="1">
      <c r="A81" s="151"/>
      <c r="B81" s="93" t="s">
        <v>2</v>
      </c>
      <c r="C81" s="22"/>
      <c r="D81" s="113"/>
      <c r="E81" s="374"/>
      <c r="F81" s="368">
        <f t="shared" si="5"/>
        <v>0</v>
      </c>
      <c r="G81" s="400"/>
      <c r="H81" s="407">
        <f t="shared" si="4"/>
        <v>0</v>
      </c>
      <c r="I81" s="400"/>
      <c r="J81" s="400">
        <f t="shared" si="3"/>
        <v>0</v>
      </c>
    </row>
    <row r="82" spans="1:10" s="81" customFormat="1" ht="35.450000000000003" customHeight="1">
      <c r="A82" s="151"/>
      <c r="B82" s="94" t="s">
        <v>84</v>
      </c>
      <c r="C82" s="22" t="s">
        <v>85</v>
      </c>
      <c r="D82" s="113">
        <f>D80/(2.4*1.2)/2</f>
        <v>0.52083333333333348</v>
      </c>
      <c r="E82" s="374">
        <v>3500</v>
      </c>
      <c r="F82" s="368">
        <f t="shared" si="5"/>
        <v>1822.9166666666672</v>
      </c>
      <c r="G82" s="426">
        <v>30000</v>
      </c>
      <c r="H82" s="407">
        <f t="shared" si="4"/>
        <v>15625.000000000004</v>
      </c>
      <c r="I82" s="426">
        <v>25000</v>
      </c>
      <c r="J82" s="400">
        <f t="shared" si="3"/>
        <v>13020.833333333338</v>
      </c>
    </row>
    <row r="83" spans="1:10" ht="18.75" customHeight="1">
      <c r="A83" s="151"/>
      <c r="B83" s="94" t="s">
        <v>86</v>
      </c>
      <c r="C83" s="22" t="s">
        <v>44</v>
      </c>
      <c r="D83" s="113">
        <f>D80*1.5</f>
        <v>4.5000000000000009</v>
      </c>
      <c r="E83" s="374">
        <v>5000</v>
      </c>
      <c r="F83" s="368">
        <f t="shared" si="5"/>
        <v>22500.000000000004</v>
      </c>
      <c r="G83" s="400">
        <v>4000</v>
      </c>
      <c r="H83" s="407">
        <f t="shared" si="4"/>
        <v>18000.000000000004</v>
      </c>
      <c r="I83" s="400">
        <v>1500</v>
      </c>
      <c r="J83" s="400">
        <f t="shared" si="3"/>
        <v>6750.0000000000009</v>
      </c>
    </row>
    <row r="84" spans="1:10" ht="18.75" customHeight="1">
      <c r="A84" s="142"/>
      <c r="B84" s="94" t="s">
        <v>87</v>
      </c>
      <c r="C84" s="22" t="s">
        <v>88</v>
      </c>
      <c r="D84" s="113">
        <f>D80*0.25</f>
        <v>0.75000000000000011</v>
      </c>
      <c r="E84" s="374">
        <v>2200</v>
      </c>
      <c r="F84" s="368">
        <f t="shared" si="5"/>
        <v>1650.0000000000002</v>
      </c>
      <c r="G84" s="400">
        <v>2200</v>
      </c>
      <c r="H84" s="407">
        <f t="shared" si="4"/>
        <v>1650.0000000000002</v>
      </c>
      <c r="I84" s="400">
        <v>2000</v>
      </c>
      <c r="J84" s="400">
        <f t="shared" si="3"/>
        <v>1500.0000000000002</v>
      </c>
    </row>
    <row r="85" spans="1:10" ht="18.75" customHeight="1">
      <c r="A85" s="142"/>
      <c r="B85" s="93" t="s">
        <v>89</v>
      </c>
      <c r="C85" s="27"/>
      <c r="D85" s="116"/>
      <c r="E85" s="381"/>
      <c r="F85" s="368">
        <f t="shared" si="5"/>
        <v>0</v>
      </c>
      <c r="G85" s="400"/>
      <c r="H85" s="407">
        <f t="shared" si="4"/>
        <v>0</v>
      </c>
      <c r="I85" s="400"/>
      <c r="J85" s="400">
        <f t="shared" si="3"/>
        <v>0</v>
      </c>
    </row>
    <row r="86" spans="1:10" ht="18.75" customHeight="1">
      <c r="A86" s="142"/>
      <c r="B86" s="94"/>
      <c r="C86" s="22"/>
      <c r="D86" s="113"/>
      <c r="E86" s="374"/>
      <c r="F86" s="368">
        <f t="shared" si="5"/>
        <v>0</v>
      </c>
      <c r="G86" s="400"/>
      <c r="H86" s="407">
        <f t="shared" si="4"/>
        <v>0</v>
      </c>
      <c r="I86" s="400"/>
      <c r="J86" s="400">
        <f t="shared" si="3"/>
        <v>0</v>
      </c>
    </row>
    <row r="87" spans="1:10" ht="18.75" customHeight="1">
      <c r="A87" s="145"/>
      <c r="B87" s="93" t="s">
        <v>6</v>
      </c>
      <c r="C87" s="22"/>
      <c r="D87" s="113"/>
      <c r="E87" s="374"/>
      <c r="F87" s="368">
        <f t="shared" si="5"/>
        <v>0</v>
      </c>
      <c r="G87" s="400"/>
      <c r="H87" s="407">
        <f t="shared" si="4"/>
        <v>0</v>
      </c>
      <c r="I87" s="400"/>
      <c r="J87" s="400">
        <f t="shared" si="3"/>
        <v>0</v>
      </c>
    </row>
    <row r="88" spans="1:10" ht="18.75" customHeight="1">
      <c r="A88" s="145"/>
      <c r="B88" s="94" t="s">
        <v>90</v>
      </c>
      <c r="C88" s="22" t="s">
        <v>21</v>
      </c>
      <c r="D88" s="113">
        <f>D80/15</f>
        <v>0.20000000000000004</v>
      </c>
      <c r="E88" s="374">
        <v>15000</v>
      </c>
      <c r="F88" s="368">
        <f t="shared" si="5"/>
        <v>3000.0000000000005</v>
      </c>
      <c r="G88" s="400">
        <v>12000</v>
      </c>
      <c r="H88" s="407">
        <f t="shared" si="4"/>
        <v>2400.0000000000005</v>
      </c>
      <c r="I88" s="400">
        <v>15000</v>
      </c>
      <c r="J88" s="400">
        <f t="shared" si="3"/>
        <v>3000.0000000000005</v>
      </c>
    </row>
    <row r="89" spans="1:10" ht="18.75" customHeight="1">
      <c r="A89" s="145"/>
      <c r="B89" s="94" t="s">
        <v>25</v>
      </c>
      <c r="C89" s="22" t="s">
        <v>21</v>
      </c>
      <c r="D89" s="113">
        <f>D88*2</f>
        <v>0.40000000000000008</v>
      </c>
      <c r="E89" s="374">
        <v>8000</v>
      </c>
      <c r="F89" s="368">
        <f t="shared" si="5"/>
        <v>3200.0000000000005</v>
      </c>
      <c r="G89" s="400">
        <v>5000</v>
      </c>
      <c r="H89" s="407">
        <f t="shared" si="4"/>
        <v>2000.0000000000005</v>
      </c>
      <c r="I89" s="400">
        <v>7000</v>
      </c>
      <c r="J89" s="400">
        <f t="shared" si="3"/>
        <v>2800.0000000000005</v>
      </c>
    </row>
    <row r="90" spans="1:10" ht="18.75" customHeight="1">
      <c r="A90" s="151"/>
      <c r="B90" s="93" t="s">
        <v>91</v>
      </c>
      <c r="C90" s="27"/>
      <c r="D90" s="116"/>
      <c r="E90" s="381"/>
      <c r="F90" s="368">
        <f t="shared" si="5"/>
        <v>0</v>
      </c>
      <c r="G90" s="400"/>
      <c r="H90" s="407">
        <f t="shared" si="4"/>
        <v>0</v>
      </c>
      <c r="I90" s="400"/>
      <c r="J90" s="400">
        <f t="shared" si="3"/>
        <v>0</v>
      </c>
    </row>
    <row r="91" spans="1:10" ht="18.75" customHeight="1">
      <c r="A91" s="141">
        <v>4.0199999999999996</v>
      </c>
      <c r="B91" s="95" t="s">
        <v>118</v>
      </c>
      <c r="C91" s="65" t="s">
        <v>50</v>
      </c>
      <c r="D91" s="120">
        <f>((1.05*0.3)*4)*5</f>
        <v>6.3</v>
      </c>
      <c r="E91" s="375">
        <v>7817.3611111111113</v>
      </c>
      <c r="F91" s="367">
        <f t="shared" si="5"/>
        <v>49249.375</v>
      </c>
      <c r="G91" s="403"/>
      <c r="H91" s="408">
        <f t="shared" si="4"/>
        <v>0</v>
      </c>
      <c r="I91" s="403">
        <v>9023.6111111111113</v>
      </c>
      <c r="J91" s="403">
        <f t="shared" si="3"/>
        <v>56848.75</v>
      </c>
    </row>
    <row r="92" spans="1:10" ht="18.75" customHeight="1">
      <c r="A92" s="151"/>
      <c r="B92" s="93" t="s">
        <v>2</v>
      </c>
      <c r="C92" s="22"/>
      <c r="D92" s="113"/>
      <c r="E92" s="374"/>
      <c r="F92" s="368">
        <f t="shared" si="5"/>
        <v>0</v>
      </c>
      <c r="G92" s="400"/>
      <c r="H92" s="407">
        <f t="shared" si="4"/>
        <v>0</v>
      </c>
      <c r="I92" s="400"/>
      <c r="J92" s="400">
        <f t="shared" si="3"/>
        <v>0</v>
      </c>
    </row>
    <row r="93" spans="1:10" ht="18.75" customHeight="1">
      <c r="A93" s="151"/>
      <c r="B93" s="94" t="s">
        <v>84</v>
      </c>
      <c r="C93" s="22" t="s">
        <v>85</v>
      </c>
      <c r="D93" s="113">
        <f>D91/(2.4*1.2)/2</f>
        <v>1.09375</v>
      </c>
      <c r="E93" s="374">
        <v>2500</v>
      </c>
      <c r="F93" s="368">
        <f t="shared" si="5"/>
        <v>2734.375</v>
      </c>
      <c r="G93" s="400">
        <v>30000</v>
      </c>
      <c r="H93" s="407">
        <f t="shared" si="4"/>
        <v>32812.5</v>
      </c>
      <c r="I93" s="400">
        <v>25000</v>
      </c>
      <c r="J93" s="400">
        <f t="shared" si="3"/>
        <v>27343.75</v>
      </c>
    </row>
    <row r="94" spans="1:10" ht="18.75" customHeight="1">
      <c r="A94" s="151"/>
      <c r="B94" s="94" t="s">
        <v>86</v>
      </c>
      <c r="C94" s="22" t="s">
        <v>44</v>
      </c>
      <c r="D94" s="113">
        <f>D91*1.5</f>
        <v>9.4499999999999993</v>
      </c>
      <c r="E94" s="374">
        <v>3000</v>
      </c>
      <c r="F94" s="368">
        <f t="shared" si="5"/>
        <v>28349.999999999996</v>
      </c>
      <c r="G94" s="400">
        <v>4000</v>
      </c>
      <c r="H94" s="407">
        <f t="shared" si="4"/>
        <v>37800</v>
      </c>
      <c r="I94" s="400">
        <v>1500</v>
      </c>
      <c r="J94" s="400">
        <f t="shared" si="3"/>
        <v>14174.999999999998</v>
      </c>
    </row>
    <row r="95" spans="1:10" ht="18.75" customHeight="1">
      <c r="A95" s="142"/>
      <c r="B95" s="94" t="s">
        <v>87</v>
      </c>
      <c r="C95" s="22" t="s">
        <v>88</v>
      </c>
      <c r="D95" s="113">
        <f>D91*0.25</f>
        <v>1.575</v>
      </c>
      <c r="E95" s="374">
        <v>2200</v>
      </c>
      <c r="F95" s="368">
        <f t="shared" si="5"/>
        <v>3465</v>
      </c>
      <c r="G95" s="400">
        <v>2200</v>
      </c>
      <c r="H95" s="407">
        <f t="shared" si="4"/>
        <v>3465</v>
      </c>
      <c r="I95" s="400">
        <v>2000</v>
      </c>
      <c r="J95" s="400">
        <f t="shared" si="3"/>
        <v>3150</v>
      </c>
    </row>
    <row r="96" spans="1:10" ht="18.75" customHeight="1">
      <c r="A96" s="142"/>
      <c r="B96" s="93" t="s">
        <v>89</v>
      </c>
      <c r="C96" s="27"/>
      <c r="D96" s="116"/>
      <c r="E96" s="381"/>
      <c r="F96" s="368">
        <f t="shared" si="5"/>
        <v>0</v>
      </c>
      <c r="G96" s="400"/>
      <c r="H96" s="407">
        <f t="shared" si="4"/>
        <v>0</v>
      </c>
      <c r="I96" s="400"/>
      <c r="J96" s="400">
        <f t="shared" si="3"/>
        <v>0</v>
      </c>
    </row>
    <row r="97" spans="1:10" ht="18.75" customHeight="1">
      <c r="A97" s="142"/>
      <c r="B97" s="94"/>
      <c r="C97" s="22"/>
      <c r="D97" s="113"/>
      <c r="E97" s="374"/>
      <c r="F97" s="368">
        <f t="shared" si="5"/>
        <v>0</v>
      </c>
      <c r="G97" s="400"/>
      <c r="H97" s="407">
        <f t="shared" si="4"/>
        <v>0</v>
      </c>
      <c r="I97" s="400"/>
      <c r="J97" s="400">
        <f t="shared" si="3"/>
        <v>0</v>
      </c>
    </row>
    <row r="98" spans="1:10" ht="18.75" customHeight="1">
      <c r="A98" s="145"/>
      <c r="B98" s="93" t="s">
        <v>6</v>
      </c>
      <c r="C98" s="22"/>
      <c r="D98" s="113"/>
      <c r="E98" s="374"/>
      <c r="F98" s="368">
        <f t="shared" si="5"/>
        <v>0</v>
      </c>
      <c r="G98" s="400"/>
      <c r="H98" s="407">
        <f t="shared" si="4"/>
        <v>0</v>
      </c>
      <c r="I98" s="400"/>
      <c r="J98" s="400">
        <f t="shared" si="3"/>
        <v>0</v>
      </c>
    </row>
    <row r="99" spans="1:10" ht="18.75" customHeight="1">
      <c r="A99" s="145"/>
      <c r="B99" s="94" t="s">
        <v>90</v>
      </c>
      <c r="C99" s="22" t="s">
        <v>21</v>
      </c>
      <c r="D99" s="113">
        <f>D91/15</f>
        <v>0.42</v>
      </c>
      <c r="E99" s="374">
        <v>15000</v>
      </c>
      <c r="F99" s="368">
        <f t="shared" si="5"/>
        <v>6300</v>
      </c>
      <c r="G99" s="400">
        <v>12000</v>
      </c>
      <c r="H99" s="407">
        <f t="shared" si="4"/>
        <v>5040</v>
      </c>
      <c r="I99" s="400">
        <v>15000</v>
      </c>
      <c r="J99" s="400">
        <f t="shared" si="3"/>
        <v>6300</v>
      </c>
    </row>
    <row r="100" spans="1:10" ht="18.75" customHeight="1">
      <c r="A100" s="145"/>
      <c r="B100" s="94" t="s">
        <v>25</v>
      </c>
      <c r="C100" s="22" t="s">
        <v>21</v>
      </c>
      <c r="D100" s="113">
        <f>D99*2</f>
        <v>0.84</v>
      </c>
      <c r="E100" s="374">
        <v>10000</v>
      </c>
      <c r="F100" s="368">
        <f t="shared" si="5"/>
        <v>8400</v>
      </c>
      <c r="G100" s="400">
        <v>5000</v>
      </c>
      <c r="H100" s="407">
        <f t="shared" si="4"/>
        <v>4200</v>
      </c>
      <c r="I100" s="400">
        <v>7000</v>
      </c>
      <c r="J100" s="400">
        <f t="shared" si="3"/>
        <v>5880</v>
      </c>
    </row>
    <row r="101" spans="1:10" ht="18.75" customHeight="1">
      <c r="A101" s="151"/>
      <c r="B101" s="93" t="s">
        <v>91</v>
      </c>
      <c r="C101" s="27"/>
      <c r="D101" s="116"/>
      <c r="E101" s="381"/>
      <c r="F101" s="368">
        <f t="shared" si="5"/>
        <v>0</v>
      </c>
      <c r="G101" s="400"/>
      <c r="H101" s="407">
        <f t="shared" si="4"/>
        <v>0</v>
      </c>
      <c r="I101" s="400"/>
      <c r="J101" s="400">
        <f t="shared" si="3"/>
        <v>0</v>
      </c>
    </row>
    <row r="102" spans="1:10" ht="18.75" customHeight="1">
      <c r="A102" s="141">
        <v>4.03</v>
      </c>
      <c r="B102" s="95" t="s">
        <v>95</v>
      </c>
      <c r="C102" s="65" t="s">
        <v>36</v>
      </c>
      <c r="D102" s="120">
        <f>((3.1*0.3)*4)*5</f>
        <v>18.599999999999998</v>
      </c>
      <c r="E102" s="375">
        <v>11164.583333333334</v>
      </c>
      <c r="F102" s="367">
        <f t="shared" si="5"/>
        <v>207661.25</v>
      </c>
      <c r="G102" s="403"/>
      <c r="H102" s="408">
        <f t="shared" si="4"/>
        <v>0</v>
      </c>
      <c r="I102" s="403">
        <v>9023.6111111111113</v>
      </c>
      <c r="J102" s="403">
        <f t="shared" si="3"/>
        <v>167839.16666666666</v>
      </c>
    </row>
    <row r="103" spans="1:10" ht="18.75" customHeight="1">
      <c r="A103" s="151"/>
      <c r="B103" s="93" t="s">
        <v>2</v>
      </c>
      <c r="C103" s="22"/>
      <c r="D103" s="113"/>
      <c r="E103" s="374"/>
      <c r="F103" s="368">
        <f t="shared" si="5"/>
        <v>0</v>
      </c>
      <c r="G103" s="400"/>
      <c r="H103" s="407">
        <f t="shared" si="4"/>
        <v>0</v>
      </c>
      <c r="I103" s="400"/>
      <c r="J103" s="400">
        <f t="shared" si="3"/>
        <v>0</v>
      </c>
    </row>
    <row r="104" spans="1:10" ht="18.75" customHeight="1">
      <c r="A104" s="151"/>
      <c r="B104" s="94" t="s">
        <v>84</v>
      </c>
      <c r="C104" s="22" t="s">
        <v>85</v>
      </c>
      <c r="D104" s="113">
        <f>D102/(2.4*1.2)/2</f>
        <v>3.2291666666666665</v>
      </c>
      <c r="E104" s="374">
        <v>4500</v>
      </c>
      <c r="F104" s="368">
        <f t="shared" si="5"/>
        <v>14531.25</v>
      </c>
      <c r="G104" s="400">
        <v>30000</v>
      </c>
      <c r="H104" s="407">
        <f t="shared" si="4"/>
        <v>96875</v>
      </c>
      <c r="I104" s="400">
        <v>25000</v>
      </c>
      <c r="J104" s="400">
        <f t="shared" si="3"/>
        <v>80729.166666666657</v>
      </c>
    </row>
    <row r="105" spans="1:10" ht="18.75" customHeight="1">
      <c r="A105" s="151"/>
      <c r="B105" s="94" t="s">
        <v>86</v>
      </c>
      <c r="C105" s="22" t="s">
        <v>44</v>
      </c>
      <c r="D105" s="113">
        <f>D102*1.5</f>
        <v>27.9</v>
      </c>
      <c r="E105" s="374">
        <v>5000</v>
      </c>
      <c r="F105" s="368">
        <f t="shared" si="5"/>
        <v>139500</v>
      </c>
      <c r="G105" s="400">
        <v>4000</v>
      </c>
      <c r="H105" s="407">
        <f t="shared" si="4"/>
        <v>111600</v>
      </c>
      <c r="I105" s="400">
        <v>1500</v>
      </c>
      <c r="J105" s="400">
        <f t="shared" si="3"/>
        <v>41850</v>
      </c>
    </row>
    <row r="106" spans="1:10" ht="18.75" customHeight="1">
      <c r="A106" s="142"/>
      <c r="B106" s="94" t="s">
        <v>87</v>
      </c>
      <c r="C106" s="22" t="s">
        <v>88</v>
      </c>
      <c r="D106" s="113">
        <f>D102*0.25</f>
        <v>4.6499999999999995</v>
      </c>
      <c r="E106" s="374">
        <v>2200</v>
      </c>
      <c r="F106" s="368">
        <f t="shared" si="5"/>
        <v>10229.999999999998</v>
      </c>
      <c r="G106" s="400">
        <v>22000</v>
      </c>
      <c r="H106" s="407">
        <f t="shared" si="4"/>
        <v>102299.99999999999</v>
      </c>
      <c r="I106" s="400">
        <v>2000</v>
      </c>
      <c r="J106" s="400">
        <f t="shared" si="3"/>
        <v>9299.9999999999982</v>
      </c>
    </row>
    <row r="107" spans="1:10" ht="18.75" customHeight="1">
      <c r="A107" s="142"/>
      <c r="B107" s="93" t="s">
        <v>89</v>
      </c>
      <c r="C107" s="27"/>
      <c r="D107" s="116"/>
      <c r="E107" s="381"/>
      <c r="F107" s="368">
        <f t="shared" si="5"/>
        <v>0</v>
      </c>
      <c r="G107" s="400"/>
      <c r="H107" s="407">
        <f t="shared" si="4"/>
        <v>0</v>
      </c>
      <c r="I107" s="400"/>
      <c r="J107" s="400">
        <f t="shared" si="3"/>
        <v>0</v>
      </c>
    </row>
    <row r="108" spans="1:10" ht="18.75" customHeight="1">
      <c r="A108" s="142"/>
      <c r="B108" s="94"/>
      <c r="C108" s="22"/>
      <c r="D108" s="113"/>
      <c r="E108" s="374"/>
      <c r="F108" s="368">
        <f t="shared" si="5"/>
        <v>0</v>
      </c>
      <c r="G108" s="400"/>
      <c r="H108" s="407">
        <f t="shared" si="4"/>
        <v>0</v>
      </c>
      <c r="I108" s="400"/>
      <c r="J108" s="400">
        <f t="shared" si="3"/>
        <v>0</v>
      </c>
    </row>
    <row r="109" spans="1:10" ht="18.75" customHeight="1">
      <c r="A109" s="145"/>
      <c r="B109" s="93" t="s">
        <v>6</v>
      </c>
      <c r="C109" s="22"/>
      <c r="D109" s="113"/>
      <c r="E109" s="374"/>
      <c r="F109" s="368">
        <f t="shared" si="5"/>
        <v>0</v>
      </c>
      <c r="G109" s="400"/>
      <c r="H109" s="407">
        <f t="shared" si="4"/>
        <v>0</v>
      </c>
      <c r="I109" s="400"/>
      <c r="J109" s="400">
        <f t="shared" si="3"/>
        <v>0</v>
      </c>
    </row>
    <row r="110" spans="1:10" ht="18.75" customHeight="1">
      <c r="A110" s="145"/>
      <c r="B110" s="94" t="s">
        <v>90</v>
      </c>
      <c r="C110" s="22" t="s">
        <v>21</v>
      </c>
      <c r="D110" s="113">
        <f>D102/15</f>
        <v>1.2399999999999998</v>
      </c>
      <c r="E110" s="374">
        <v>15000</v>
      </c>
      <c r="F110" s="368">
        <f t="shared" si="5"/>
        <v>18599.999999999996</v>
      </c>
      <c r="G110" s="400">
        <v>12000</v>
      </c>
      <c r="H110" s="407">
        <f t="shared" si="4"/>
        <v>14879.999999999996</v>
      </c>
      <c r="I110" s="400">
        <v>15000</v>
      </c>
      <c r="J110" s="400">
        <f t="shared" si="3"/>
        <v>18599.999999999996</v>
      </c>
    </row>
    <row r="111" spans="1:10" ht="18.75" customHeight="1">
      <c r="A111" s="145"/>
      <c r="B111" s="94" t="s">
        <v>25</v>
      </c>
      <c r="C111" s="22" t="s">
        <v>21</v>
      </c>
      <c r="D111" s="113">
        <f>D110*2</f>
        <v>2.4799999999999995</v>
      </c>
      <c r="E111" s="374">
        <v>10000</v>
      </c>
      <c r="F111" s="368">
        <f t="shared" si="5"/>
        <v>24799.999999999996</v>
      </c>
      <c r="G111" s="400">
        <v>5000</v>
      </c>
      <c r="H111" s="407">
        <f t="shared" si="4"/>
        <v>12399.999999999998</v>
      </c>
      <c r="I111" s="400">
        <v>7000</v>
      </c>
      <c r="J111" s="400">
        <f t="shared" si="3"/>
        <v>17359.999999999996</v>
      </c>
    </row>
    <row r="112" spans="1:10" ht="18.75" customHeight="1">
      <c r="A112" s="151"/>
      <c r="B112" s="10" t="s">
        <v>9</v>
      </c>
      <c r="C112" s="27"/>
      <c r="D112" s="116"/>
      <c r="E112" s="381"/>
      <c r="F112" s="368">
        <f t="shared" si="5"/>
        <v>0</v>
      </c>
      <c r="G112" s="400"/>
      <c r="H112" s="407">
        <f t="shared" si="4"/>
        <v>0</v>
      </c>
      <c r="I112" s="400"/>
      <c r="J112" s="400">
        <f t="shared" si="3"/>
        <v>0</v>
      </c>
    </row>
    <row r="113" spans="1:14" ht="18.75" customHeight="1">
      <c r="A113" s="151"/>
      <c r="B113" s="10"/>
      <c r="C113" s="27"/>
      <c r="D113" s="116"/>
      <c r="E113" s="381"/>
      <c r="F113" s="368">
        <f t="shared" si="5"/>
        <v>0</v>
      </c>
      <c r="G113" s="400"/>
      <c r="H113" s="407">
        <f t="shared" si="4"/>
        <v>0</v>
      </c>
      <c r="I113" s="400"/>
      <c r="J113" s="400">
        <f t="shared" si="3"/>
        <v>0</v>
      </c>
    </row>
    <row r="114" spans="1:14" ht="18.75" customHeight="1">
      <c r="A114" s="154">
        <v>5</v>
      </c>
      <c r="B114" s="95" t="s">
        <v>105</v>
      </c>
      <c r="C114" s="65" t="s">
        <v>88</v>
      </c>
      <c r="D114" s="120">
        <v>180.67</v>
      </c>
      <c r="E114" s="375">
        <v>6375.8333333333339</v>
      </c>
      <c r="F114" s="367">
        <f t="shared" si="5"/>
        <v>1151921.8083333333</v>
      </c>
      <c r="G114" s="403"/>
      <c r="H114" s="408">
        <f t="shared" si="4"/>
        <v>0</v>
      </c>
      <c r="I114" s="403">
        <v>3141.1111111111109</v>
      </c>
      <c r="J114" s="403">
        <f t="shared" si="3"/>
        <v>567504.54444444436</v>
      </c>
    </row>
    <row r="115" spans="1:14" ht="18.75" customHeight="1">
      <c r="A115" s="151"/>
      <c r="B115" s="93" t="s">
        <v>2</v>
      </c>
      <c r="C115" s="22"/>
      <c r="D115" s="113"/>
      <c r="E115" s="374"/>
      <c r="F115" s="368">
        <f t="shared" si="5"/>
        <v>0</v>
      </c>
      <c r="G115" s="400"/>
      <c r="H115" s="407">
        <f t="shared" si="4"/>
        <v>0</v>
      </c>
      <c r="I115" s="400"/>
      <c r="J115" s="400">
        <f t="shared" si="3"/>
        <v>0</v>
      </c>
    </row>
    <row r="116" spans="1:14" ht="18.75" customHeight="1">
      <c r="A116" s="151"/>
      <c r="B116" s="94" t="s">
        <v>106</v>
      </c>
      <c r="C116" s="22" t="s">
        <v>88</v>
      </c>
      <c r="D116" s="113">
        <f>D114*1.1</f>
        <v>198.73699999999999</v>
      </c>
      <c r="E116" s="374">
        <v>5050</v>
      </c>
      <c r="F116" s="368">
        <f t="shared" si="5"/>
        <v>1003621.85</v>
      </c>
      <c r="G116" s="400">
        <v>4500</v>
      </c>
      <c r="H116" s="407">
        <f t="shared" si="4"/>
        <v>894316.5</v>
      </c>
      <c r="I116" s="400">
        <v>1800</v>
      </c>
      <c r="J116" s="400">
        <f t="shared" si="3"/>
        <v>357726.6</v>
      </c>
    </row>
    <row r="117" spans="1:14" s="5" customFormat="1" ht="18">
      <c r="A117" s="151"/>
      <c r="B117" s="94" t="s">
        <v>107</v>
      </c>
      <c r="C117" s="22" t="s">
        <v>88</v>
      </c>
      <c r="D117" s="113">
        <f>D114*2.5%</f>
        <v>4.51675</v>
      </c>
      <c r="E117" s="374">
        <v>3500</v>
      </c>
      <c r="F117" s="368">
        <f t="shared" si="5"/>
        <v>15808.625</v>
      </c>
      <c r="G117" s="5">
        <v>2500</v>
      </c>
      <c r="H117" s="407">
        <f t="shared" si="4"/>
        <v>11291.875</v>
      </c>
      <c r="I117" s="5">
        <v>2000</v>
      </c>
      <c r="J117" s="400">
        <f t="shared" si="3"/>
        <v>9033.5</v>
      </c>
      <c r="K117" s="75"/>
      <c r="L117" s="75"/>
      <c r="M117" s="75"/>
      <c r="N117" s="31"/>
    </row>
    <row r="118" spans="1:14" s="5" customFormat="1">
      <c r="A118" s="151"/>
      <c r="B118" s="94"/>
      <c r="C118" s="22"/>
      <c r="D118" s="113"/>
      <c r="E118" s="374"/>
      <c r="F118" s="368">
        <f t="shared" si="5"/>
        <v>0</v>
      </c>
      <c r="H118" s="407">
        <f t="shared" si="4"/>
        <v>0</v>
      </c>
      <c r="J118" s="400">
        <f t="shared" si="3"/>
        <v>0</v>
      </c>
      <c r="K118" s="75"/>
      <c r="L118" s="75"/>
      <c r="M118" s="75"/>
      <c r="N118" s="6"/>
    </row>
    <row r="119" spans="1:14" s="5" customFormat="1" ht="18">
      <c r="A119" s="152"/>
      <c r="B119" s="93" t="s">
        <v>108</v>
      </c>
      <c r="C119" s="27"/>
      <c r="D119" s="116"/>
      <c r="E119" s="381"/>
      <c r="F119" s="368">
        <f t="shared" si="5"/>
        <v>0</v>
      </c>
      <c r="H119" s="407">
        <f t="shared" si="4"/>
        <v>0</v>
      </c>
      <c r="J119" s="400">
        <f t="shared" si="3"/>
        <v>0</v>
      </c>
      <c r="K119" s="75"/>
      <c r="L119" s="75"/>
      <c r="M119" s="75"/>
      <c r="N119" s="6"/>
    </row>
    <row r="120" spans="1:14" s="5" customFormat="1">
      <c r="A120" s="151"/>
      <c r="B120" s="94"/>
      <c r="C120" s="22"/>
      <c r="D120" s="113"/>
      <c r="E120" s="374"/>
      <c r="F120" s="368">
        <f t="shared" si="5"/>
        <v>0</v>
      </c>
      <c r="H120" s="407">
        <f t="shared" si="4"/>
        <v>0</v>
      </c>
      <c r="J120" s="400">
        <f t="shared" si="3"/>
        <v>0</v>
      </c>
      <c r="K120" s="75"/>
      <c r="L120" s="75"/>
      <c r="M120" s="75"/>
      <c r="N120" s="6"/>
    </row>
    <row r="121" spans="1:14" s="5" customFormat="1">
      <c r="A121" s="151"/>
      <c r="B121" s="93" t="s">
        <v>6</v>
      </c>
      <c r="C121" s="22"/>
      <c r="D121" s="113"/>
      <c r="E121" s="374"/>
      <c r="F121" s="368">
        <f t="shared" si="5"/>
        <v>0</v>
      </c>
      <c r="H121" s="407">
        <f t="shared" si="4"/>
        <v>0</v>
      </c>
      <c r="J121" s="400">
        <f t="shared" si="3"/>
        <v>0</v>
      </c>
      <c r="K121" s="75"/>
      <c r="L121" s="75"/>
      <c r="M121" s="75"/>
      <c r="N121" s="6"/>
    </row>
    <row r="122" spans="1:14" s="5" customFormat="1">
      <c r="A122" s="151"/>
      <c r="B122" s="94" t="s">
        <v>109</v>
      </c>
      <c r="C122" s="22" t="s">
        <v>8</v>
      </c>
      <c r="D122" s="113">
        <f>D114/45</f>
        <v>4.0148888888888887</v>
      </c>
      <c r="E122" s="374">
        <v>17000</v>
      </c>
      <c r="F122" s="368">
        <f t="shared" si="5"/>
        <v>68253.111111111109</v>
      </c>
      <c r="G122" s="5">
        <v>12000</v>
      </c>
      <c r="H122" s="407">
        <f t="shared" si="4"/>
        <v>48178.666666666664</v>
      </c>
      <c r="I122" s="5">
        <v>36000</v>
      </c>
      <c r="J122" s="400">
        <f t="shared" si="3"/>
        <v>144536</v>
      </c>
      <c r="K122" s="75"/>
      <c r="L122" s="75"/>
      <c r="M122" s="75"/>
      <c r="N122" s="6"/>
    </row>
    <row r="123" spans="1:14" s="5" customFormat="1">
      <c r="A123" s="151"/>
      <c r="B123" s="94" t="s">
        <v>110</v>
      </c>
      <c r="C123" s="22" t="s">
        <v>8</v>
      </c>
      <c r="D123" s="113">
        <f>D122*2</f>
        <v>8.0297777777777775</v>
      </c>
      <c r="E123" s="374">
        <v>8000</v>
      </c>
      <c r="F123" s="368">
        <f t="shared" si="5"/>
        <v>64238.222222222219</v>
      </c>
      <c r="G123" s="5">
        <v>5000</v>
      </c>
      <c r="H123" s="407">
        <f t="shared" si="4"/>
        <v>40148.888888888891</v>
      </c>
      <c r="I123" s="5">
        <v>7000</v>
      </c>
      <c r="J123" s="400">
        <f t="shared" si="3"/>
        <v>56208.444444444445</v>
      </c>
      <c r="K123" s="75"/>
      <c r="L123" s="75"/>
      <c r="M123" s="75"/>
      <c r="N123" s="6"/>
    </row>
    <row r="124" spans="1:14" s="5" customFormat="1" ht="18">
      <c r="A124" s="152"/>
      <c r="B124" s="93" t="s">
        <v>111</v>
      </c>
      <c r="C124" s="27"/>
      <c r="D124" s="116"/>
      <c r="E124" s="381"/>
      <c r="F124" s="368">
        <f t="shared" si="5"/>
        <v>0</v>
      </c>
      <c r="H124" s="407">
        <f t="shared" si="4"/>
        <v>0</v>
      </c>
      <c r="J124" s="400">
        <f t="shared" si="3"/>
        <v>0</v>
      </c>
      <c r="K124" s="75"/>
      <c r="L124" s="75"/>
      <c r="M124" s="75"/>
      <c r="N124" s="6"/>
    </row>
    <row r="125" spans="1:14" s="5" customFormat="1" ht="18">
      <c r="A125" s="152"/>
      <c r="B125" s="93"/>
      <c r="C125" s="27"/>
      <c r="D125" s="116"/>
      <c r="E125" s="381"/>
      <c r="F125" s="368">
        <f t="shared" si="5"/>
        <v>0</v>
      </c>
      <c r="H125" s="407">
        <f t="shared" si="4"/>
        <v>0</v>
      </c>
      <c r="J125" s="400">
        <f t="shared" si="3"/>
        <v>0</v>
      </c>
      <c r="K125" s="75"/>
      <c r="L125" s="75"/>
      <c r="M125" s="75"/>
      <c r="N125" s="6"/>
    </row>
    <row r="126" spans="1:14" s="5" customFormat="1" ht="19.5">
      <c r="A126" s="155">
        <v>6</v>
      </c>
      <c r="B126" s="476" t="s">
        <v>101</v>
      </c>
      <c r="C126" s="476"/>
      <c r="D126" s="476"/>
      <c r="E126" s="376"/>
      <c r="F126" s="368">
        <f t="shared" si="5"/>
        <v>0</v>
      </c>
      <c r="H126" s="407">
        <f t="shared" si="4"/>
        <v>0</v>
      </c>
      <c r="J126" s="400">
        <f t="shared" si="3"/>
        <v>0</v>
      </c>
      <c r="K126" s="75"/>
      <c r="L126" s="75"/>
      <c r="M126" s="75"/>
      <c r="N126" s="6"/>
    </row>
    <row r="127" spans="1:14" s="5" customFormat="1" ht="19.5">
      <c r="A127" s="141">
        <v>6.01</v>
      </c>
      <c r="B127" s="95" t="s">
        <v>102</v>
      </c>
      <c r="C127" s="65" t="s">
        <v>10</v>
      </c>
      <c r="D127" s="120">
        <f>(0.7*0.7*0.15)*5</f>
        <v>0.36749999999999994</v>
      </c>
      <c r="E127" s="375">
        <v>218000</v>
      </c>
      <c r="F127" s="367">
        <f t="shared" si="5"/>
        <v>80114.999999999985</v>
      </c>
      <c r="G127" s="397"/>
      <c r="H127" s="408">
        <f t="shared" si="4"/>
        <v>0</v>
      </c>
      <c r="I127" s="397">
        <v>318000</v>
      </c>
      <c r="J127" s="403">
        <f t="shared" si="3"/>
        <v>116864.99999999999</v>
      </c>
      <c r="K127" s="75"/>
      <c r="L127" s="75"/>
      <c r="M127" s="75"/>
      <c r="N127" s="6"/>
    </row>
    <row r="128" spans="1:14" s="5" customFormat="1">
      <c r="A128" s="156"/>
      <c r="B128" s="97" t="s">
        <v>2</v>
      </c>
      <c r="C128" s="53"/>
      <c r="D128" s="130"/>
      <c r="E128" s="377"/>
      <c r="F128" s="368">
        <f t="shared" si="5"/>
        <v>0</v>
      </c>
      <c r="H128" s="407">
        <f t="shared" si="4"/>
        <v>0</v>
      </c>
      <c r="J128" s="400">
        <f t="shared" si="3"/>
        <v>0</v>
      </c>
      <c r="K128" s="75"/>
      <c r="L128" s="75"/>
      <c r="M128" s="75"/>
      <c r="N128" s="6"/>
    </row>
    <row r="129" spans="1:14" s="29" customFormat="1" ht="21" customHeight="1">
      <c r="A129" s="156"/>
      <c r="B129" s="98" t="s">
        <v>99</v>
      </c>
      <c r="C129" s="53" t="s">
        <v>28</v>
      </c>
      <c r="D129" s="130">
        <f>D127*1.1</f>
        <v>0.40424999999999994</v>
      </c>
      <c r="E129" s="377">
        <v>180000</v>
      </c>
      <c r="F129" s="368">
        <f t="shared" si="5"/>
        <v>72764.999999999985</v>
      </c>
      <c r="G129" s="427">
        <v>35000</v>
      </c>
      <c r="H129" s="407">
        <f t="shared" si="4"/>
        <v>14148.749999999998</v>
      </c>
      <c r="I129" s="427">
        <v>280000</v>
      </c>
      <c r="J129" s="400">
        <f t="shared" si="3"/>
        <v>113189.99999999999</v>
      </c>
      <c r="K129" s="70"/>
      <c r="L129" s="70"/>
      <c r="M129" s="70"/>
      <c r="N129" s="71"/>
    </row>
    <row r="130" spans="1:14" s="49" customFormat="1" ht="18">
      <c r="A130" s="157"/>
      <c r="B130" s="97" t="s">
        <v>100</v>
      </c>
      <c r="C130" s="54"/>
      <c r="D130" s="119"/>
      <c r="E130" s="384"/>
      <c r="F130" s="368">
        <f t="shared" si="5"/>
        <v>0</v>
      </c>
      <c r="G130" s="40"/>
      <c r="H130" s="407">
        <f t="shared" si="4"/>
        <v>0</v>
      </c>
      <c r="I130" s="40"/>
      <c r="J130" s="400">
        <f t="shared" si="3"/>
        <v>0</v>
      </c>
      <c r="K130" s="261"/>
      <c r="L130" s="261"/>
      <c r="M130" s="261"/>
      <c r="N130" s="41"/>
    </row>
    <row r="131" spans="1:14" s="25" customFormat="1" ht="18">
      <c r="A131" s="157"/>
      <c r="B131" s="97"/>
      <c r="C131" s="54"/>
      <c r="D131" s="119"/>
      <c r="E131" s="384"/>
      <c r="F131" s="368">
        <f t="shared" si="5"/>
        <v>0</v>
      </c>
      <c r="G131" s="412"/>
      <c r="H131" s="407">
        <f t="shared" si="4"/>
        <v>0</v>
      </c>
      <c r="I131" s="412"/>
      <c r="J131" s="400">
        <f t="shared" si="3"/>
        <v>0</v>
      </c>
      <c r="K131" s="67"/>
      <c r="L131" s="67"/>
      <c r="M131" s="67"/>
      <c r="N131" s="26"/>
    </row>
    <row r="132" spans="1:14" s="25" customFormat="1" ht="18">
      <c r="A132" s="151"/>
      <c r="B132" s="93" t="s">
        <v>19</v>
      </c>
      <c r="C132" s="22"/>
      <c r="D132" s="113"/>
      <c r="E132" s="374"/>
      <c r="F132" s="368">
        <f t="shared" si="5"/>
        <v>0</v>
      </c>
      <c r="G132" s="412"/>
      <c r="H132" s="407">
        <f t="shared" si="4"/>
        <v>0</v>
      </c>
      <c r="I132" s="412"/>
      <c r="J132" s="400">
        <f t="shared" si="3"/>
        <v>0</v>
      </c>
      <c r="K132" s="67"/>
      <c r="L132" s="67"/>
      <c r="M132" s="67"/>
      <c r="N132" s="26"/>
    </row>
    <row r="133" spans="1:14" s="37" customFormat="1" ht="18">
      <c r="A133" s="151"/>
      <c r="B133" s="94" t="s">
        <v>22</v>
      </c>
      <c r="C133" s="22" t="s">
        <v>21</v>
      </c>
      <c r="D133" s="113">
        <f>D127/6</f>
        <v>6.1249999999999992E-2</v>
      </c>
      <c r="E133" s="374">
        <v>65000</v>
      </c>
      <c r="F133" s="368">
        <f t="shared" si="5"/>
        <v>3981.2499999999995</v>
      </c>
      <c r="G133" s="428">
        <v>50000</v>
      </c>
      <c r="H133" s="407">
        <f t="shared" si="4"/>
        <v>3062.4999999999995</v>
      </c>
      <c r="I133" s="428">
        <v>40000</v>
      </c>
      <c r="J133" s="400">
        <f t="shared" ref="J133:J196" si="6">D133*I133</f>
        <v>2449.9999999999995</v>
      </c>
      <c r="K133" s="69"/>
      <c r="L133" s="69"/>
      <c r="M133" s="69"/>
      <c r="N133" s="38"/>
    </row>
    <row r="134" spans="1:14" s="37" customFormat="1" ht="18">
      <c r="A134" s="152"/>
      <c r="B134" s="93" t="s">
        <v>112</v>
      </c>
      <c r="C134" s="27"/>
      <c r="D134" s="116"/>
      <c r="E134" s="381"/>
      <c r="F134" s="368">
        <f t="shared" si="5"/>
        <v>0</v>
      </c>
      <c r="G134" s="428"/>
      <c r="H134" s="407">
        <f t="shared" si="4"/>
        <v>0</v>
      </c>
      <c r="I134" s="428"/>
      <c r="J134" s="400">
        <f t="shared" si="6"/>
        <v>0</v>
      </c>
      <c r="K134" s="69"/>
      <c r="L134" s="69"/>
      <c r="M134" s="69"/>
      <c r="N134" s="38"/>
    </row>
    <row r="135" spans="1:14" ht="18" customHeight="1">
      <c r="A135" s="152"/>
      <c r="B135" s="93"/>
      <c r="C135" s="27"/>
      <c r="D135" s="116"/>
      <c r="E135" s="381"/>
      <c r="F135" s="368">
        <f t="shared" si="5"/>
        <v>0</v>
      </c>
      <c r="G135" s="400"/>
      <c r="H135" s="407">
        <f t="shared" ref="H135:H198" si="7">G135*D135</f>
        <v>0</v>
      </c>
      <c r="I135" s="400"/>
      <c r="J135" s="400">
        <f t="shared" si="6"/>
        <v>0</v>
      </c>
    </row>
    <row r="136" spans="1:14" ht="18" customHeight="1">
      <c r="A136" s="156"/>
      <c r="B136" s="98" t="s">
        <v>26</v>
      </c>
      <c r="C136" s="53" t="s">
        <v>21</v>
      </c>
      <c r="D136" s="130">
        <f>D133</f>
        <v>6.1249999999999992E-2</v>
      </c>
      <c r="E136" s="377">
        <v>55000</v>
      </c>
      <c r="F136" s="368">
        <f t="shared" ref="F136:F199" si="8">D136*E136</f>
        <v>3368.7499999999995</v>
      </c>
      <c r="G136" s="400">
        <v>20000</v>
      </c>
      <c r="H136" s="407">
        <f t="shared" si="7"/>
        <v>1224.9999999999998</v>
      </c>
      <c r="I136" s="400">
        <v>20000</v>
      </c>
      <c r="J136" s="400">
        <f t="shared" si="6"/>
        <v>1224.9999999999998</v>
      </c>
    </row>
    <row r="137" spans="1:14" ht="18" customHeight="1">
      <c r="A137" s="157"/>
      <c r="B137" s="97" t="s">
        <v>113</v>
      </c>
      <c r="C137" s="54"/>
      <c r="D137" s="119"/>
      <c r="E137" s="384"/>
      <c r="F137" s="368">
        <f t="shared" si="8"/>
        <v>0</v>
      </c>
      <c r="G137" s="400"/>
      <c r="H137" s="407">
        <f t="shared" si="7"/>
        <v>0</v>
      </c>
      <c r="I137" s="400"/>
      <c r="J137" s="400">
        <f t="shared" si="6"/>
        <v>0</v>
      </c>
    </row>
    <row r="138" spans="1:14" ht="18" customHeight="1">
      <c r="A138" s="141">
        <v>6.02</v>
      </c>
      <c r="B138" s="95" t="s">
        <v>103</v>
      </c>
      <c r="C138" s="65" t="s">
        <v>10</v>
      </c>
      <c r="D138" s="120">
        <f>(1*0.25*0.25)*5</f>
        <v>0.3125</v>
      </c>
      <c r="E138" s="375">
        <v>223920</v>
      </c>
      <c r="F138" s="367">
        <f t="shared" si="8"/>
        <v>69975</v>
      </c>
      <c r="G138" s="403"/>
      <c r="H138" s="408">
        <f t="shared" si="7"/>
        <v>0</v>
      </c>
      <c r="I138" s="403">
        <v>309960</v>
      </c>
      <c r="J138" s="403">
        <f t="shared" si="6"/>
        <v>96862.5</v>
      </c>
    </row>
    <row r="139" spans="1:14" s="25" customFormat="1" ht="18">
      <c r="A139" s="156"/>
      <c r="B139" s="97" t="s">
        <v>2</v>
      </c>
      <c r="C139" s="53"/>
      <c r="D139" s="130"/>
      <c r="E139" s="377"/>
      <c r="F139" s="368">
        <f t="shared" si="8"/>
        <v>0</v>
      </c>
      <c r="G139" s="412"/>
      <c r="H139" s="407">
        <f t="shared" si="7"/>
        <v>0</v>
      </c>
      <c r="I139" s="412"/>
      <c r="J139" s="400">
        <f t="shared" si="6"/>
        <v>0</v>
      </c>
      <c r="K139" s="67"/>
      <c r="L139" s="67"/>
      <c r="M139" s="67"/>
      <c r="N139" s="26"/>
    </row>
    <row r="140" spans="1:14" s="37" customFormat="1" ht="18">
      <c r="A140" s="156"/>
      <c r="B140" s="98" t="s">
        <v>99</v>
      </c>
      <c r="C140" s="53" t="s">
        <v>28</v>
      </c>
      <c r="D140" s="130">
        <f>D138*1.1</f>
        <v>0.34375</v>
      </c>
      <c r="E140" s="377">
        <v>200000</v>
      </c>
      <c r="F140" s="368">
        <f t="shared" si="8"/>
        <v>68750</v>
      </c>
      <c r="G140" s="428">
        <v>350000</v>
      </c>
      <c r="H140" s="407">
        <f t="shared" si="7"/>
        <v>120312.5</v>
      </c>
      <c r="I140" s="428">
        <v>280000</v>
      </c>
      <c r="J140" s="400">
        <f t="shared" si="6"/>
        <v>96250</v>
      </c>
      <c r="K140" s="69"/>
      <c r="L140" s="69"/>
      <c r="M140" s="69"/>
      <c r="N140" s="38"/>
    </row>
    <row r="141" spans="1:14" s="40" customFormat="1" ht="18">
      <c r="A141" s="157"/>
      <c r="B141" s="97" t="s">
        <v>100</v>
      </c>
      <c r="C141" s="54"/>
      <c r="D141" s="119"/>
      <c r="E141" s="384"/>
      <c r="F141" s="368">
        <f t="shared" si="8"/>
        <v>0</v>
      </c>
      <c r="H141" s="407">
        <f t="shared" si="7"/>
        <v>0</v>
      </c>
      <c r="J141" s="400">
        <f t="shared" si="6"/>
        <v>0</v>
      </c>
      <c r="K141" s="260"/>
      <c r="L141" s="260"/>
      <c r="M141" s="260"/>
      <c r="N141" s="41"/>
    </row>
    <row r="142" spans="1:14" s="30" customFormat="1" ht="18">
      <c r="A142" s="157"/>
      <c r="B142" s="97"/>
      <c r="C142" s="54"/>
      <c r="D142" s="119"/>
      <c r="E142" s="384"/>
      <c r="F142" s="368">
        <f t="shared" si="8"/>
        <v>0</v>
      </c>
      <c r="H142" s="407">
        <f t="shared" si="7"/>
        <v>0</v>
      </c>
      <c r="J142" s="400">
        <f t="shared" si="6"/>
        <v>0</v>
      </c>
      <c r="K142" s="68"/>
      <c r="L142" s="68"/>
      <c r="M142" s="68"/>
      <c r="N142" s="31"/>
    </row>
    <row r="143" spans="1:14" s="30" customFormat="1" ht="18">
      <c r="A143" s="151"/>
      <c r="B143" s="93" t="s">
        <v>19</v>
      </c>
      <c r="C143" s="22"/>
      <c r="D143" s="113"/>
      <c r="E143" s="374"/>
      <c r="F143" s="368">
        <f t="shared" si="8"/>
        <v>0</v>
      </c>
      <c r="H143" s="407">
        <f t="shared" si="7"/>
        <v>0</v>
      </c>
      <c r="J143" s="400">
        <f t="shared" si="6"/>
        <v>0</v>
      </c>
      <c r="K143" s="68"/>
      <c r="L143" s="68"/>
      <c r="M143" s="68"/>
      <c r="N143" s="31"/>
    </row>
    <row r="144" spans="1:14" s="72" customFormat="1" ht="18">
      <c r="A144" s="151"/>
      <c r="B144" s="94" t="s">
        <v>22</v>
      </c>
      <c r="C144" s="22" t="s">
        <v>21</v>
      </c>
      <c r="D144" s="113">
        <f>D136/6</f>
        <v>1.0208333333333331E-2</v>
      </c>
      <c r="E144" s="374">
        <v>65000</v>
      </c>
      <c r="F144" s="368">
        <f t="shared" si="8"/>
        <v>663.54166666666652</v>
      </c>
      <c r="G144" s="72">
        <v>50000</v>
      </c>
      <c r="H144" s="407">
        <f t="shared" si="7"/>
        <v>510.41666666666657</v>
      </c>
      <c r="I144" s="72">
        <v>40000</v>
      </c>
      <c r="J144" s="400">
        <f t="shared" si="6"/>
        <v>408.33333333333326</v>
      </c>
      <c r="K144" s="73"/>
      <c r="L144" s="73"/>
      <c r="M144" s="73"/>
      <c r="N144" s="74"/>
    </row>
    <row r="145" spans="1:14" s="72" customFormat="1" ht="18">
      <c r="A145" s="152"/>
      <c r="B145" s="93" t="s">
        <v>112</v>
      </c>
      <c r="C145" s="27"/>
      <c r="D145" s="116"/>
      <c r="E145" s="381"/>
      <c r="F145" s="368">
        <f t="shared" si="8"/>
        <v>0</v>
      </c>
      <c r="H145" s="407">
        <f t="shared" si="7"/>
        <v>0</v>
      </c>
      <c r="J145" s="400">
        <f t="shared" si="6"/>
        <v>0</v>
      </c>
      <c r="K145" s="73"/>
      <c r="L145" s="73"/>
      <c r="M145" s="73"/>
      <c r="N145" s="74"/>
    </row>
    <row r="146" spans="1:14" ht="18" customHeight="1">
      <c r="A146" s="152"/>
      <c r="B146" s="93"/>
      <c r="C146" s="27"/>
      <c r="D146" s="116"/>
      <c r="E146" s="381"/>
      <c r="F146" s="368">
        <f t="shared" si="8"/>
        <v>0</v>
      </c>
      <c r="G146" s="400"/>
      <c r="H146" s="407">
        <f t="shared" si="7"/>
        <v>0</v>
      </c>
      <c r="I146" s="400"/>
      <c r="J146" s="400">
        <f t="shared" si="6"/>
        <v>0</v>
      </c>
    </row>
    <row r="147" spans="1:14" ht="18" customHeight="1">
      <c r="A147" s="156"/>
      <c r="B147" s="98" t="s">
        <v>26</v>
      </c>
      <c r="C147" s="53" t="s">
        <v>21</v>
      </c>
      <c r="D147" s="130">
        <f>D144</f>
        <v>1.0208333333333331E-2</v>
      </c>
      <c r="E147" s="377">
        <v>55000</v>
      </c>
      <c r="F147" s="368">
        <f t="shared" si="8"/>
        <v>561.45833333333326</v>
      </c>
      <c r="G147" s="400">
        <v>20000</v>
      </c>
      <c r="H147" s="407">
        <f t="shared" si="7"/>
        <v>204.16666666666663</v>
      </c>
      <c r="I147" s="400">
        <v>20000</v>
      </c>
      <c r="J147" s="400">
        <f t="shared" si="6"/>
        <v>204.16666666666663</v>
      </c>
    </row>
    <row r="148" spans="1:14" ht="18" customHeight="1">
      <c r="A148" s="157"/>
      <c r="B148" s="97" t="s">
        <v>113</v>
      </c>
      <c r="C148" s="54"/>
      <c r="D148" s="119"/>
      <c r="E148" s="384"/>
      <c r="F148" s="368">
        <f t="shared" si="8"/>
        <v>0</v>
      </c>
      <c r="G148" s="400"/>
      <c r="H148" s="407">
        <f t="shared" si="7"/>
        <v>0</v>
      </c>
      <c r="I148" s="400"/>
      <c r="J148" s="400">
        <f t="shared" si="6"/>
        <v>0</v>
      </c>
    </row>
    <row r="149" spans="1:14" ht="18" customHeight="1">
      <c r="A149" s="141">
        <v>6.03</v>
      </c>
      <c r="B149" s="95" t="s">
        <v>104</v>
      </c>
      <c r="C149" s="65" t="s">
        <v>10</v>
      </c>
      <c r="D149" s="120">
        <f>(3*0.25*0.25)*5</f>
        <v>0.9375</v>
      </c>
      <c r="E149" s="375">
        <v>295000</v>
      </c>
      <c r="F149" s="367">
        <f t="shared" si="8"/>
        <v>276562.5</v>
      </c>
      <c r="G149" s="403"/>
      <c r="H149" s="408">
        <f t="shared" si="7"/>
        <v>0</v>
      </c>
      <c r="I149" s="403">
        <v>318000</v>
      </c>
      <c r="J149" s="403">
        <f t="shared" si="6"/>
        <v>298125</v>
      </c>
    </row>
    <row r="150" spans="1:14" s="30" customFormat="1" ht="18">
      <c r="A150" s="156"/>
      <c r="B150" s="97" t="s">
        <v>2</v>
      </c>
      <c r="C150" s="53"/>
      <c r="D150" s="130"/>
      <c r="E150" s="377"/>
      <c r="F150" s="368">
        <f t="shared" si="8"/>
        <v>0</v>
      </c>
      <c r="H150" s="407">
        <f t="shared" si="7"/>
        <v>0</v>
      </c>
      <c r="J150" s="400">
        <f t="shared" si="6"/>
        <v>0</v>
      </c>
      <c r="K150" s="68"/>
      <c r="L150" s="68"/>
      <c r="M150" s="68"/>
      <c r="N150" s="31"/>
    </row>
    <row r="151" spans="1:14" s="72" customFormat="1" ht="18">
      <c r="A151" s="156"/>
      <c r="B151" s="98" t="s">
        <v>99</v>
      </c>
      <c r="C151" s="53" t="s">
        <v>28</v>
      </c>
      <c r="D151" s="130">
        <f>D149*1.1</f>
        <v>1.03125</v>
      </c>
      <c r="E151" s="377">
        <v>250000</v>
      </c>
      <c r="F151" s="368">
        <f t="shared" si="8"/>
        <v>257812.5</v>
      </c>
      <c r="G151" s="72">
        <v>35000</v>
      </c>
      <c r="H151" s="407">
        <f t="shared" si="7"/>
        <v>36093.75</v>
      </c>
      <c r="I151" s="72">
        <v>280000</v>
      </c>
      <c r="J151" s="400">
        <f t="shared" si="6"/>
        <v>288750</v>
      </c>
      <c r="K151" s="73"/>
      <c r="L151" s="73"/>
      <c r="M151" s="73"/>
      <c r="N151" s="74"/>
    </row>
    <row r="152" spans="1:14" s="40" customFormat="1" ht="18">
      <c r="A152" s="157"/>
      <c r="B152" s="97" t="s">
        <v>100</v>
      </c>
      <c r="C152" s="54"/>
      <c r="D152" s="119"/>
      <c r="E152" s="384"/>
      <c r="F152" s="368">
        <f t="shared" si="8"/>
        <v>0</v>
      </c>
      <c r="H152" s="407">
        <f t="shared" si="7"/>
        <v>0</v>
      </c>
      <c r="J152" s="400">
        <f t="shared" si="6"/>
        <v>0</v>
      </c>
      <c r="K152" s="260"/>
      <c r="L152" s="260"/>
      <c r="M152" s="260"/>
      <c r="N152" s="41"/>
    </row>
    <row r="153" spans="1:14" s="30" customFormat="1" ht="18">
      <c r="A153" s="157"/>
      <c r="B153" s="97"/>
      <c r="C153" s="54"/>
      <c r="D153" s="119"/>
      <c r="E153" s="384"/>
      <c r="F153" s="368">
        <f t="shared" si="8"/>
        <v>0</v>
      </c>
      <c r="H153" s="407">
        <f t="shared" si="7"/>
        <v>0</v>
      </c>
      <c r="J153" s="400">
        <f t="shared" si="6"/>
        <v>0</v>
      </c>
      <c r="K153" s="68"/>
      <c r="L153" s="68"/>
      <c r="M153" s="68"/>
      <c r="N153" s="31"/>
    </row>
    <row r="154" spans="1:14" s="30" customFormat="1" ht="18">
      <c r="A154" s="151"/>
      <c r="B154" s="93" t="s">
        <v>19</v>
      </c>
      <c r="C154" s="22"/>
      <c r="D154" s="113"/>
      <c r="E154" s="374"/>
      <c r="F154" s="368">
        <f t="shared" si="8"/>
        <v>0</v>
      </c>
      <c r="H154" s="407">
        <f t="shared" si="7"/>
        <v>0</v>
      </c>
      <c r="J154" s="400">
        <f t="shared" si="6"/>
        <v>0</v>
      </c>
      <c r="K154" s="68"/>
      <c r="L154" s="68"/>
      <c r="M154" s="68"/>
      <c r="N154" s="31"/>
    </row>
    <row r="155" spans="1:14" s="72" customFormat="1" ht="18">
      <c r="A155" s="151"/>
      <c r="B155" s="94" t="s">
        <v>22</v>
      </c>
      <c r="C155" s="22" t="s">
        <v>21</v>
      </c>
      <c r="D155" s="113">
        <f>D149/6</f>
        <v>0.15625</v>
      </c>
      <c r="E155" s="374">
        <v>65000</v>
      </c>
      <c r="F155" s="368">
        <f t="shared" si="8"/>
        <v>10156.25</v>
      </c>
      <c r="G155" s="72">
        <v>50000</v>
      </c>
      <c r="H155" s="407">
        <f t="shared" si="7"/>
        <v>7812.5</v>
      </c>
      <c r="I155" s="72">
        <v>40000</v>
      </c>
      <c r="J155" s="400">
        <f t="shared" si="6"/>
        <v>6250</v>
      </c>
      <c r="K155" s="73"/>
      <c r="L155" s="73"/>
      <c r="M155" s="73"/>
      <c r="N155" s="74"/>
    </row>
    <row r="156" spans="1:14" s="72" customFormat="1" ht="18">
      <c r="A156" s="152"/>
      <c r="B156" s="93" t="s">
        <v>112</v>
      </c>
      <c r="C156" s="27"/>
      <c r="D156" s="116"/>
      <c r="E156" s="381"/>
      <c r="F156" s="368">
        <f t="shared" si="8"/>
        <v>0</v>
      </c>
      <c r="H156" s="407">
        <f t="shared" si="7"/>
        <v>0</v>
      </c>
      <c r="J156" s="400">
        <f t="shared" si="6"/>
        <v>0</v>
      </c>
      <c r="K156" s="73"/>
      <c r="L156" s="73"/>
      <c r="M156" s="73"/>
      <c r="N156" s="74"/>
    </row>
    <row r="157" spans="1:14" ht="18" customHeight="1">
      <c r="A157" s="152"/>
      <c r="B157" s="93"/>
      <c r="C157" s="27"/>
      <c r="D157" s="116"/>
      <c r="E157" s="381"/>
      <c r="F157" s="368">
        <f t="shared" si="8"/>
        <v>0</v>
      </c>
      <c r="G157" s="400"/>
      <c r="H157" s="407">
        <f t="shared" si="7"/>
        <v>0</v>
      </c>
      <c r="I157" s="400"/>
      <c r="J157" s="400">
        <f t="shared" si="6"/>
        <v>0</v>
      </c>
    </row>
    <row r="158" spans="1:14" ht="18" customHeight="1">
      <c r="A158" s="156"/>
      <c r="B158" s="98" t="s">
        <v>26</v>
      </c>
      <c r="C158" s="53" t="s">
        <v>21</v>
      </c>
      <c r="D158" s="130">
        <f>D155</f>
        <v>0.15625</v>
      </c>
      <c r="E158" s="377">
        <v>55000</v>
      </c>
      <c r="F158" s="368">
        <f t="shared" si="8"/>
        <v>8593.75</v>
      </c>
      <c r="G158" s="400">
        <v>20000</v>
      </c>
      <c r="H158" s="407">
        <f t="shared" si="7"/>
        <v>3125</v>
      </c>
      <c r="I158" s="400">
        <v>20000</v>
      </c>
      <c r="J158" s="400">
        <f t="shared" si="6"/>
        <v>3125</v>
      </c>
    </row>
    <row r="159" spans="1:14" ht="18" customHeight="1">
      <c r="A159" s="157"/>
      <c r="B159" s="97" t="s">
        <v>113</v>
      </c>
      <c r="C159" s="54"/>
      <c r="D159" s="119"/>
      <c r="E159" s="384"/>
      <c r="F159" s="368">
        <f t="shared" si="8"/>
        <v>0</v>
      </c>
      <c r="G159" s="400"/>
      <c r="H159" s="407">
        <f t="shared" si="7"/>
        <v>0</v>
      </c>
      <c r="I159" s="400"/>
      <c r="J159" s="400">
        <f t="shared" si="6"/>
        <v>0</v>
      </c>
    </row>
    <row r="160" spans="1:14" ht="18" customHeight="1">
      <c r="A160" s="157"/>
      <c r="B160" s="97"/>
      <c r="C160" s="54"/>
      <c r="D160" s="119"/>
      <c r="E160" s="384"/>
      <c r="F160" s="368">
        <f t="shared" si="8"/>
        <v>0</v>
      </c>
      <c r="G160" s="400"/>
      <c r="H160" s="407">
        <f t="shared" si="7"/>
        <v>0</v>
      </c>
      <c r="I160" s="400"/>
      <c r="J160" s="400">
        <f t="shared" si="6"/>
        <v>0</v>
      </c>
    </row>
    <row r="161" spans="1:14" s="30" customFormat="1" ht="19.5">
      <c r="A161" s="155">
        <v>7</v>
      </c>
      <c r="B161" s="474" t="s">
        <v>73</v>
      </c>
      <c r="C161" s="474"/>
      <c r="D161" s="474"/>
      <c r="E161" s="372"/>
      <c r="F161" s="368">
        <f t="shared" si="8"/>
        <v>0</v>
      </c>
      <c r="H161" s="407">
        <f t="shared" si="7"/>
        <v>0</v>
      </c>
      <c r="J161" s="400">
        <f t="shared" si="6"/>
        <v>0</v>
      </c>
      <c r="K161" s="68"/>
      <c r="L161" s="68"/>
      <c r="M161" s="68"/>
      <c r="N161" s="31"/>
    </row>
    <row r="162" spans="1:14" s="56" customFormat="1" ht="18.75" customHeight="1">
      <c r="A162" s="147">
        <v>7.01</v>
      </c>
      <c r="B162" s="15" t="s">
        <v>71</v>
      </c>
      <c r="C162" s="3" t="s">
        <v>28</v>
      </c>
      <c r="D162" s="112">
        <f>0.4*0.8*20.5</f>
        <v>6.5600000000000014</v>
      </c>
      <c r="E162" s="371">
        <v>85069.756862745096</v>
      </c>
      <c r="F162" s="367">
        <f t="shared" si="8"/>
        <v>558057.60501960793</v>
      </c>
      <c r="G162" s="408"/>
      <c r="H162" s="408">
        <f t="shared" si="7"/>
        <v>0</v>
      </c>
      <c r="I162" s="408">
        <v>87826.431372549036</v>
      </c>
      <c r="J162" s="403">
        <f t="shared" si="6"/>
        <v>576141.3898039218</v>
      </c>
    </row>
    <row r="163" spans="1:14" s="56" customFormat="1" ht="18.75" customHeight="1">
      <c r="A163" s="145"/>
      <c r="B163" s="7" t="s">
        <v>29</v>
      </c>
      <c r="C163" s="8"/>
      <c r="D163" s="113"/>
      <c r="E163" s="368"/>
      <c r="F163" s="368">
        <f t="shared" si="8"/>
        <v>0</v>
      </c>
      <c r="G163" s="406"/>
      <c r="H163" s="407">
        <f t="shared" si="7"/>
        <v>0</v>
      </c>
      <c r="I163" s="406"/>
      <c r="J163" s="400">
        <f t="shared" si="6"/>
        <v>0</v>
      </c>
    </row>
    <row r="164" spans="1:14" s="86" customFormat="1" ht="18" customHeight="1">
      <c r="A164" s="145"/>
      <c r="B164" s="12" t="s">
        <v>30</v>
      </c>
      <c r="C164" s="8" t="s">
        <v>28</v>
      </c>
      <c r="D164" s="113">
        <f>D162*(10/17)*1.57</f>
        <v>6.0583529411764721</v>
      </c>
      <c r="E164" s="368">
        <v>33500</v>
      </c>
      <c r="F164" s="368">
        <f t="shared" si="8"/>
        <v>202954.82352941181</v>
      </c>
      <c r="G164" s="409">
        <v>15000</v>
      </c>
      <c r="H164" s="407">
        <f t="shared" si="7"/>
        <v>90875.294117647078</v>
      </c>
      <c r="I164" s="409">
        <v>25000</v>
      </c>
      <c r="J164" s="400">
        <f t="shared" si="6"/>
        <v>151458.82352941181</v>
      </c>
    </row>
    <row r="165" spans="1:14" ht="18" customHeight="1">
      <c r="A165" s="145"/>
      <c r="B165" s="12" t="s">
        <v>11</v>
      </c>
      <c r="C165" s="8" t="s">
        <v>31</v>
      </c>
      <c r="D165" s="113">
        <f>D162*(1/17)*1.57*(1440/50)</f>
        <v>17.448056470588241</v>
      </c>
      <c r="E165" s="368">
        <v>11200</v>
      </c>
      <c r="F165" s="368">
        <f t="shared" si="8"/>
        <v>195418.23247058829</v>
      </c>
      <c r="G165" s="400">
        <v>14000</v>
      </c>
      <c r="H165" s="407">
        <f t="shared" si="7"/>
        <v>244272.7905882354</v>
      </c>
      <c r="I165" s="400">
        <v>13500</v>
      </c>
      <c r="J165" s="400">
        <f t="shared" si="6"/>
        <v>235548.76235294127</v>
      </c>
    </row>
    <row r="166" spans="1:14" ht="18" customHeight="1">
      <c r="A166" s="145"/>
      <c r="B166" s="12" t="s">
        <v>32</v>
      </c>
      <c r="C166" s="8" t="s">
        <v>28</v>
      </c>
      <c r="D166" s="113">
        <f>D162*(6/17)*1.57</f>
        <v>3.6350117647058835</v>
      </c>
      <c r="E166" s="368">
        <v>32500</v>
      </c>
      <c r="F166" s="368">
        <f t="shared" si="8"/>
        <v>118137.88235294122</v>
      </c>
      <c r="G166" s="400">
        <v>25000</v>
      </c>
      <c r="H166" s="407">
        <f t="shared" si="7"/>
        <v>90875.294117647092</v>
      </c>
      <c r="I166" s="400">
        <v>40000</v>
      </c>
      <c r="J166" s="400">
        <f t="shared" si="6"/>
        <v>145400.47058823533</v>
      </c>
    </row>
    <row r="167" spans="1:14" ht="18" customHeight="1">
      <c r="A167" s="145"/>
      <c r="B167" s="7" t="s">
        <v>5</v>
      </c>
      <c r="C167" s="8"/>
      <c r="D167" s="113"/>
      <c r="E167" s="378"/>
      <c r="F167" s="368">
        <f t="shared" si="8"/>
        <v>0</v>
      </c>
      <c r="G167" s="400"/>
      <c r="H167" s="407">
        <f t="shared" si="7"/>
        <v>0</v>
      </c>
      <c r="I167" s="400"/>
      <c r="J167" s="400">
        <f t="shared" si="6"/>
        <v>0</v>
      </c>
    </row>
    <row r="168" spans="1:14" ht="18" customHeight="1">
      <c r="A168" s="145"/>
      <c r="B168" s="12"/>
      <c r="C168" s="8"/>
      <c r="D168" s="113"/>
      <c r="E168" s="368"/>
      <c r="F168" s="368">
        <f t="shared" si="8"/>
        <v>0</v>
      </c>
      <c r="G168" s="400"/>
      <c r="H168" s="407">
        <f t="shared" si="7"/>
        <v>0</v>
      </c>
      <c r="I168" s="400"/>
      <c r="J168" s="400">
        <f t="shared" si="6"/>
        <v>0</v>
      </c>
    </row>
    <row r="169" spans="1:14" ht="18" customHeight="1">
      <c r="A169" s="142"/>
      <c r="B169" s="7" t="s">
        <v>33</v>
      </c>
      <c r="C169" s="8"/>
      <c r="D169" s="113"/>
      <c r="E169" s="368"/>
      <c r="F169" s="368">
        <f t="shared" si="8"/>
        <v>0</v>
      </c>
      <c r="G169" s="400"/>
      <c r="H169" s="407">
        <f t="shared" si="7"/>
        <v>0</v>
      </c>
      <c r="I169" s="400"/>
      <c r="J169" s="400">
        <f t="shared" si="6"/>
        <v>0</v>
      </c>
    </row>
    <row r="170" spans="1:14" ht="18" customHeight="1">
      <c r="A170" s="142"/>
      <c r="B170" s="12" t="s">
        <v>34</v>
      </c>
      <c r="C170" s="8" t="s">
        <v>21</v>
      </c>
      <c r="D170" s="113">
        <f>D162/1.5</f>
        <v>4.373333333333334</v>
      </c>
      <c r="E170" s="368">
        <v>4500</v>
      </c>
      <c r="F170" s="368">
        <f t="shared" si="8"/>
        <v>19680.000000000004</v>
      </c>
      <c r="G170" s="400">
        <v>10000</v>
      </c>
      <c r="H170" s="407">
        <f t="shared" si="7"/>
        <v>43733.333333333343</v>
      </c>
      <c r="I170" s="400">
        <v>5000</v>
      </c>
      <c r="J170" s="400">
        <f t="shared" si="6"/>
        <v>21866.666666666672</v>
      </c>
    </row>
    <row r="171" spans="1:14" ht="18" customHeight="1">
      <c r="A171" s="142"/>
      <c r="B171" s="12" t="s">
        <v>7</v>
      </c>
      <c r="C171" s="8" t="s">
        <v>21</v>
      </c>
      <c r="D171" s="113">
        <f>+D170*2</f>
        <v>8.7466666666666679</v>
      </c>
      <c r="E171" s="368">
        <v>2500</v>
      </c>
      <c r="F171" s="368">
        <f t="shared" si="8"/>
        <v>21866.666666666672</v>
      </c>
      <c r="G171" s="400">
        <v>5000</v>
      </c>
      <c r="H171" s="407">
        <f t="shared" si="7"/>
        <v>43733.333333333343</v>
      </c>
      <c r="I171" s="400">
        <v>2500</v>
      </c>
      <c r="J171" s="400">
        <f t="shared" si="6"/>
        <v>21866.666666666672</v>
      </c>
    </row>
    <row r="172" spans="1:14" ht="18" customHeight="1">
      <c r="A172" s="152"/>
      <c r="B172" s="93" t="s">
        <v>9</v>
      </c>
      <c r="C172" s="27"/>
      <c r="D172" s="116"/>
      <c r="E172" s="381"/>
      <c r="F172" s="368">
        <f t="shared" si="8"/>
        <v>0</v>
      </c>
      <c r="G172" s="400"/>
      <c r="H172" s="407">
        <f t="shared" si="7"/>
        <v>0</v>
      </c>
      <c r="I172" s="400"/>
      <c r="J172" s="400">
        <f t="shared" si="6"/>
        <v>0</v>
      </c>
    </row>
    <row r="173" spans="1:14" ht="18" customHeight="1">
      <c r="A173" s="152"/>
      <c r="B173" s="93"/>
      <c r="C173" s="27"/>
      <c r="D173" s="116"/>
      <c r="E173" s="381"/>
      <c r="F173" s="368">
        <f t="shared" si="8"/>
        <v>0</v>
      </c>
      <c r="G173" s="400"/>
      <c r="H173" s="407">
        <f t="shared" si="7"/>
        <v>0</v>
      </c>
      <c r="I173" s="400"/>
      <c r="J173" s="400">
        <f t="shared" si="6"/>
        <v>0</v>
      </c>
    </row>
    <row r="174" spans="1:14" ht="18" customHeight="1">
      <c r="A174" s="141">
        <v>8.01</v>
      </c>
      <c r="B174" s="15" t="s">
        <v>35</v>
      </c>
      <c r="C174" s="34" t="s">
        <v>36</v>
      </c>
      <c r="D174" s="120">
        <f>20.5*0.25</f>
        <v>5.125</v>
      </c>
      <c r="E174" s="367">
        <v>1980</v>
      </c>
      <c r="F174" s="367">
        <f t="shared" si="8"/>
        <v>10147.5</v>
      </c>
      <c r="G174" s="403"/>
      <c r="H174" s="408">
        <f t="shared" si="7"/>
        <v>0</v>
      </c>
      <c r="I174" s="403">
        <v>4500</v>
      </c>
      <c r="J174" s="403">
        <f t="shared" si="6"/>
        <v>23062.5</v>
      </c>
    </row>
    <row r="175" spans="1:14" ht="18" customHeight="1">
      <c r="A175" s="145"/>
      <c r="B175" s="7" t="s">
        <v>29</v>
      </c>
      <c r="C175" s="8"/>
      <c r="D175" s="113"/>
      <c r="E175" s="368"/>
      <c r="F175" s="368">
        <f t="shared" si="8"/>
        <v>0</v>
      </c>
      <c r="G175" s="400"/>
      <c r="H175" s="407">
        <f t="shared" si="7"/>
        <v>0</v>
      </c>
      <c r="I175" s="400"/>
      <c r="J175" s="400">
        <f t="shared" si="6"/>
        <v>0</v>
      </c>
    </row>
    <row r="176" spans="1:14" ht="18" customHeight="1">
      <c r="A176" s="142"/>
      <c r="B176" s="12" t="s">
        <v>37</v>
      </c>
      <c r="C176" s="8" t="s">
        <v>38</v>
      </c>
      <c r="D176" s="113">
        <f>D174</f>
        <v>5.125</v>
      </c>
      <c r="E176" s="368">
        <v>1500</v>
      </c>
      <c r="F176" s="368">
        <f t="shared" si="8"/>
        <v>7687.5</v>
      </c>
      <c r="G176" s="400">
        <v>25000</v>
      </c>
      <c r="H176" s="407">
        <f t="shared" si="7"/>
        <v>128125</v>
      </c>
      <c r="I176" s="400">
        <v>4000</v>
      </c>
      <c r="J176" s="400">
        <f t="shared" si="6"/>
        <v>20500</v>
      </c>
    </row>
    <row r="177" spans="1:10" ht="18" customHeight="1">
      <c r="A177" s="148"/>
      <c r="B177" s="7" t="s">
        <v>5</v>
      </c>
      <c r="C177" s="11"/>
      <c r="D177" s="116"/>
      <c r="E177" s="378"/>
      <c r="F177" s="368">
        <f t="shared" si="8"/>
        <v>0</v>
      </c>
      <c r="G177" s="400"/>
      <c r="H177" s="407">
        <f t="shared" si="7"/>
        <v>0</v>
      </c>
      <c r="I177" s="400"/>
      <c r="J177" s="400">
        <f t="shared" si="6"/>
        <v>0</v>
      </c>
    </row>
    <row r="178" spans="1:10" ht="18" customHeight="1">
      <c r="A178" s="142"/>
      <c r="B178" s="12"/>
      <c r="C178" s="8"/>
      <c r="D178" s="113"/>
      <c r="E178" s="368"/>
      <c r="F178" s="368">
        <f t="shared" si="8"/>
        <v>0</v>
      </c>
      <c r="G178" s="400"/>
      <c r="H178" s="407">
        <f t="shared" si="7"/>
        <v>0</v>
      </c>
      <c r="I178" s="400"/>
      <c r="J178" s="400">
        <f t="shared" si="6"/>
        <v>0</v>
      </c>
    </row>
    <row r="179" spans="1:10" ht="18" customHeight="1">
      <c r="A179" s="158"/>
      <c r="B179" s="7" t="s">
        <v>33</v>
      </c>
      <c r="C179" s="8"/>
      <c r="D179" s="113"/>
      <c r="E179" s="368"/>
      <c r="F179" s="368">
        <f t="shared" si="8"/>
        <v>0</v>
      </c>
      <c r="G179" s="400"/>
      <c r="H179" s="407">
        <f t="shared" si="7"/>
        <v>0</v>
      </c>
      <c r="I179" s="400"/>
      <c r="J179" s="400">
        <f t="shared" si="6"/>
        <v>0</v>
      </c>
    </row>
    <row r="180" spans="1:10" ht="18" customHeight="1">
      <c r="A180" s="142"/>
      <c r="B180" s="12" t="s">
        <v>34</v>
      </c>
      <c r="C180" s="8" t="s">
        <v>21</v>
      </c>
      <c r="D180" s="113">
        <f>D174/100</f>
        <v>5.1249999999999997E-2</v>
      </c>
      <c r="E180" s="368">
        <v>18000</v>
      </c>
      <c r="F180" s="368">
        <f t="shared" si="8"/>
        <v>922.5</v>
      </c>
      <c r="G180" s="400">
        <v>10000</v>
      </c>
      <c r="H180" s="407">
        <f t="shared" si="7"/>
        <v>512.5</v>
      </c>
      <c r="I180" s="400">
        <v>30000</v>
      </c>
      <c r="J180" s="400">
        <f t="shared" si="6"/>
        <v>1537.5</v>
      </c>
    </row>
    <row r="181" spans="1:10" ht="18" customHeight="1">
      <c r="A181" s="142"/>
      <c r="B181" s="12" t="s">
        <v>7</v>
      </c>
      <c r="C181" s="8" t="s">
        <v>21</v>
      </c>
      <c r="D181" s="113">
        <f>+D180*2</f>
        <v>0.10249999999999999</v>
      </c>
      <c r="E181" s="368">
        <v>15000</v>
      </c>
      <c r="F181" s="368">
        <f t="shared" si="8"/>
        <v>1537.5</v>
      </c>
      <c r="G181" s="400">
        <v>5000</v>
      </c>
      <c r="H181" s="407">
        <f t="shared" si="7"/>
        <v>512.5</v>
      </c>
      <c r="I181" s="400">
        <v>10000</v>
      </c>
      <c r="J181" s="400">
        <f t="shared" si="6"/>
        <v>1025</v>
      </c>
    </row>
    <row r="182" spans="1:10" ht="18" customHeight="1">
      <c r="A182" s="148"/>
      <c r="B182" s="7" t="s">
        <v>39</v>
      </c>
      <c r="C182" s="11"/>
      <c r="D182" s="116"/>
      <c r="E182" s="378"/>
      <c r="F182" s="368">
        <f t="shared" si="8"/>
        <v>0</v>
      </c>
      <c r="G182" s="400"/>
      <c r="H182" s="407">
        <f t="shared" si="7"/>
        <v>0</v>
      </c>
      <c r="I182" s="400"/>
      <c r="J182" s="400">
        <f t="shared" si="6"/>
        <v>0</v>
      </c>
    </row>
    <row r="183" spans="1:10" ht="18" customHeight="1">
      <c r="A183" s="148"/>
      <c r="B183" s="7"/>
      <c r="C183" s="11"/>
      <c r="D183" s="116"/>
      <c r="E183" s="378"/>
      <c r="F183" s="368">
        <f t="shared" si="8"/>
        <v>0</v>
      </c>
      <c r="G183" s="400"/>
      <c r="H183" s="407">
        <f t="shared" si="7"/>
        <v>0</v>
      </c>
      <c r="I183" s="400"/>
      <c r="J183" s="400">
        <f t="shared" si="6"/>
        <v>0</v>
      </c>
    </row>
    <row r="184" spans="1:10" ht="18" customHeight="1">
      <c r="A184" s="153">
        <v>9</v>
      </c>
      <c r="B184" s="475" t="s">
        <v>72</v>
      </c>
      <c r="C184" s="475"/>
      <c r="D184" s="475"/>
      <c r="E184" s="376"/>
      <c r="F184" s="368">
        <f t="shared" si="8"/>
        <v>0</v>
      </c>
      <c r="G184" s="400"/>
      <c r="H184" s="407">
        <f t="shared" si="7"/>
        <v>0</v>
      </c>
      <c r="I184" s="400"/>
      <c r="J184" s="400">
        <f t="shared" si="6"/>
        <v>0</v>
      </c>
    </row>
    <row r="185" spans="1:10" ht="18" customHeight="1">
      <c r="A185" s="141">
        <v>9.01</v>
      </c>
      <c r="B185" s="15" t="s">
        <v>40</v>
      </c>
      <c r="C185" s="3" t="s">
        <v>1</v>
      </c>
      <c r="D185" s="112">
        <f>(20.5*3)-(3.78+3)</f>
        <v>54.72</v>
      </c>
      <c r="E185" s="371">
        <v>16453.284874881014</v>
      </c>
      <c r="F185" s="367">
        <f t="shared" si="8"/>
        <v>900323.74835348909</v>
      </c>
      <c r="G185" s="403"/>
      <c r="H185" s="408">
        <f t="shared" si="7"/>
        <v>0</v>
      </c>
      <c r="I185" s="403">
        <v>18861.190048479119</v>
      </c>
      <c r="J185" s="403">
        <f t="shared" si="6"/>
        <v>1032084.3194527774</v>
      </c>
    </row>
    <row r="186" spans="1:10" ht="18" customHeight="1">
      <c r="A186" s="150"/>
      <c r="B186" s="99"/>
      <c r="C186" s="19" t="s">
        <v>28</v>
      </c>
      <c r="D186" s="130">
        <f>D185*0.2</f>
        <v>10.944000000000001</v>
      </c>
      <c r="E186" s="373"/>
      <c r="F186" s="368">
        <f t="shared" si="8"/>
        <v>0</v>
      </c>
      <c r="G186" s="400"/>
      <c r="H186" s="407">
        <f t="shared" si="7"/>
        <v>0</v>
      </c>
      <c r="I186" s="400">
        <v>94306</v>
      </c>
      <c r="J186" s="400">
        <f t="shared" si="6"/>
        <v>1032084.8640000001</v>
      </c>
    </row>
    <row r="187" spans="1:10" s="86" customFormat="1" ht="18" customHeight="1">
      <c r="A187" s="142"/>
      <c r="B187" s="7" t="s">
        <v>2</v>
      </c>
      <c r="C187" s="8"/>
      <c r="D187" s="113"/>
      <c r="E187" s="368"/>
      <c r="F187" s="368">
        <f t="shared" si="8"/>
        <v>0</v>
      </c>
      <c r="G187" s="400"/>
      <c r="H187" s="407">
        <f t="shared" si="7"/>
        <v>0</v>
      </c>
      <c r="I187" s="409"/>
      <c r="J187" s="400">
        <f t="shared" si="6"/>
        <v>0</v>
      </c>
    </row>
    <row r="188" spans="1:10" ht="18" customHeight="1">
      <c r="A188" s="142"/>
      <c r="B188" s="46" t="s">
        <v>41</v>
      </c>
      <c r="C188" s="8" t="s">
        <v>31</v>
      </c>
      <c r="D188" s="113">
        <f>D186*0.2439*(1/7)*1.54*(1440/50)</f>
        <v>16.912314777600002</v>
      </c>
      <c r="E188" s="368">
        <v>11200</v>
      </c>
      <c r="F188" s="368">
        <f t="shared" si="8"/>
        <v>189417.92550912002</v>
      </c>
      <c r="G188" s="400">
        <v>14000</v>
      </c>
      <c r="H188" s="407">
        <f t="shared" si="7"/>
        <v>236772.40688640004</v>
      </c>
      <c r="I188" s="400">
        <v>13500</v>
      </c>
      <c r="J188" s="400">
        <f t="shared" si="6"/>
        <v>228316.24949760005</v>
      </c>
    </row>
    <row r="189" spans="1:10" ht="18" customHeight="1">
      <c r="A189" s="142"/>
      <c r="B189" s="46" t="s">
        <v>42</v>
      </c>
      <c r="C189" s="8" t="s">
        <v>28</v>
      </c>
      <c r="D189" s="113">
        <f>D186*0.2439*(6/7)*1.54</f>
        <v>3.5233989120000007</v>
      </c>
      <c r="E189" s="368">
        <v>30500</v>
      </c>
      <c r="F189" s="368">
        <f t="shared" si="8"/>
        <v>107463.66681600003</v>
      </c>
      <c r="G189" s="400">
        <v>27000</v>
      </c>
      <c r="H189" s="407">
        <f t="shared" si="7"/>
        <v>95131.770624000012</v>
      </c>
      <c r="I189" s="400">
        <v>40000</v>
      </c>
      <c r="J189" s="400">
        <f t="shared" si="6"/>
        <v>140935.95648000002</v>
      </c>
    </row>
    <row r="190" spans="1:10" ht="18" customHeight="1">
      <c r="A190" s="142"/>
      <c r="B190" s="46" t="s">
        <v>43</v>
      </c>
      <c r="C190" s="8" t="s">
        <v>44</v>
      </c>
      <c r="D190" s="113">
        <f>D186*1.15/(0.235*0.1125*0.075)</f>
        <v>6347.3475177304972</v>
      </c>
      <c r="E190" s="368">
        <v>58</v>
      </c>
      <c r="F190" s="368">
        <f t="shared" si="8"/>
        <v>368146.15602836886</v>
      </c>
      <c r="G190" s="400">
        <v>70</v>
      </c>
      <c r="H190" s="407">
        <f t="shared" si="7"/>
        <v>444314.32624113478</v>
      </c>
      <c r="I190" s="400">
        <v>55</v>
      </c>
      <c r="J190" s="400">
        <f t="shared" si="6"/>
        <v>349104.11347517732</v>
      </c>
    </row>
    <row r="191" spans="1:10" ht="18" customHeight="1">
      <c r="A191" s="148"/>
      <c r="B191" s="57" t="s">
        <v>5</v>
      </c>
      <c r="C191" s="11"/>
      <c r="D191" s="116"/>
      <c r="E191" s="378"/>
      <c r="F191" s="368">
        <f t="shared" si="8"/>
        <v>0</v>
      </c>
      <c r="G191" s="400"/>
      <c r="H191" s="407">
        <f t="shared" si="7"/>
        <v>0</v>
      </c>
      <c r="I191" s="400"/>
      <c r="J191" s="400">
        <f t="shared" si="6"/>
        <v>0</v>
      </c>
    </row>
    <row r="192" spans="1:10" ht="18" customHeight="1">
      <c r="A192" s="142"/>
      <c r="B192" s="46"/>
      <c r="C192" s="8"/>
      <c r="D192" s="113"/>
      <c r="E192" s="368"/>
      <c r="F192" s="368">
        <f t="shared" si="8"/>
        <v>0</v>
      </c>
      <c r="G192" s="400"/>
      <c r="H192" s="407">
        <f t="shared" si="7"/>
        <v>0</v>
      </c>
      <c r="I192" s="400"/>
      <c r="J192" s="400">
        <f t="shared" si="6"/>
        <v>0</v>
      </c>
    </row>
    <row r="193" spans="1:10" ht="18" customHeight="1">
      <c r="A193" s="142"/>
      <c r="B193" s="7" t="s">
        <v>6</v>
      </c>
      <c r="C193" s="8"/>
      <c r="D193" s="113"/>
      <c r="E193" s="368"/>
      <c r="F193" s="368">
        <f t="shared" si="8"/>
        <v>0</v>
      </c>
      <c r="G193" s="400"/>
      <c r="H193" s="407">
        <f t="shared" si="7"/>
        <v>0</v>
      </c>
      <c r="I193" s="400"/>
      <c r="J193" s="400">
        <f t="shared" si="6"/>
        <v>0</v>
      </c>
    </row>
    <row r="194" spans="1:10" ht="18" customHeight="1">
      <c r="A194" s="142"/>
      <c r="B194" s="12" t="s">
        <v>34</v>
      </c>
      <c r="C194" s="8" t="s">
        <v>8</v>
      </c>
      <c r="D194" s="113">
        <f>D186/1</f>
        <v>10.944000000000001</v>
      </c>
      <c r="E194" s="368">
        <v>6500</v>
      </c>
      <c r="F194" s="368">
        <f t="shared" si="8"/>
        <v>71136</v>
      </c>
      <c r="G194" s="400">
        <v>10000</v>
      </c>
      <c r="H194" s="407">
        <f t="shared" si="7"/>
        <v>109440.00000000001</v>
      </c>
      <c r="I194" s="400">
        <v>12000</v>
      </c>
      <c r="J194" s="400">
        <f t="shared" si="6"/>
        <v>131328</v>
      </c>
    </row>
    <row r="195" spans="1:10" ht="18" customHeight="1">
      <c r="A195" s="142"/>
      <c r="B195" s="12" t="s">
        <v>7</v>
      </c>
      <c r="C195" s="8" t="s">
        <v>8</v>
      </c>
      <c r="D195" s="113">
        <f>(D186/1.2)*4</f>
        <v>36.480000000000004</v>
      </c>
      <c r="E195" s="368">
        <v>4500</v>
      </c>
      <c r="F195" s="368">
        <f t="shared" si="8"/>
        <v>164160.00000000003</v>
      </c>
      <c r="G195" s="400">
        <v>5000</v>
      </c>
      <c r="H195" s="407">
        <f t="shared" si="7"/>
        <v>182400.00000000003</v>
      </c>
      <c r="I195" s="400">
        <v>5000</v>
      </c>
      <c r="J195" s="400">
        <f t="shared" si="6"/>
        <v>182400.00000000003</v>
      </c>
    </row>
    <row r="196" spans="1:10" ht="18" customHeight="1">
      <c r="A196" s="144"/>
      <c r="B196" s="57" t="s">
        <v>9</v>
      </c>
      <c r="C196" s="58"/>
      <c r="D196" s="115"/>
      <c r="E196" s="369"/>
      <c r="F196" s="368">
        <f t="shared" si="8"/>
        <v>0</v>
      </c>
      <c r="G196" s="400"/>
      <c r="H196" s="407">
        <f t="shared" si="7"/>
        <v>0</v>
      </c>
      <c r="I196" s="400"/>
      <c r="J196" s="400">
        <f t="shared" si="6"/>
        <v>0</v>
      </c>
    </row>
    <row r="197" spans="1:10" ht="18" customHeight="1">
      <c r="A197" s="144"/>
      <c r="B197" s="57"/>
      <c r="C197" s="58"/>
      <c r="D197" s="115"/>
      <c r="E197" s="369"/>
      <c r="F197" s="368">
        <f t="shared" si="8"/>
        <v>0</v>
      </c>
      <c r="G197" s="400"/>
      <c r="H197" s="407">
        <f t="shared" si="7"/>
        <v>0</v>
      </c>
      <c r="I197" s="400"/>
      <c r="J197" s="400">
        <f t="shared" ref="J197:J260" si="9">D197*I197</f>
        <v>0</v>
      </c>
    </row>
    <row r="198" spans="1:10" ht="18" customHeight="1">
      <c r="A198" s="159">
        <v>10</v>
      </c>
      <c r="B198" s="467" t="s">
        <v>79</v>
      </c>
      <c r="C198" s="467"/>
      <c r="D198" s="467"/>
      <c r="E198" s="372"/>
      <c r="F198" s="368">
        <f t="shared" si="8"/>
        <v>0</v>
      </c>
      <c r="G198" s="400"/>
      <c r="H198" s="407">
        <f t="shared" si="7"/>
        <v>0</v>
      </c>
      <c r="I198" s="400"/>
      <c r="J198" s="400">
        <f t="shared" si="9"/>
        <v>0</v>
      </c>
    </row>
    <row r="199" spans="1:10" ht="18" customHeight="1">
      <c r="A199" s="141" t="s">
        <v>116</v>
      </c>
      <c r="B199" s="2" t="s">
        <v>74</v>
      </c>
      <c r="C199" s="14" t="s">
        <v>45</v>
      </c>
      <c r="D199" s="160">
        <f>9.4*0.25*0.2</f>
        <v>0.47000000000000003</v>
      </c>
      <c r="E199" s="371">
        <v>154198.13193960511</v>
      </c>
      <c r="F199" s="367">
        <f t="shared" si="8"/>
        <v>72473.12201161441</v>
      </c>
      <c r="G199" s="403"/>
      <c r="H199" s="408">
        <f t="shared" ref="H199:H262" si="10">G199*D199</f>
        <v>0</v>
      </c>
      <c r="I199" s="403">
        <v>300000</v>
      </c>
      <c r="J199" s="403">
        <f t="shared" si="9"/>
        <v>141000</v>
      </c>
    </row>
    <row r="200" spans="1:10" ht="18" customHeight="1">
      <c r="A200" s="158"/>
      <c r="B200" s="161" t="s">
        <v>29</v>
      </c>
      <c r="C200" s="162"/>
      <c r="D200" s="130"/>
      <c r="E200" s="379"/>
      <c r="F200" s="368">
        <f t="shared" ref="F200:F263" si="11">D200*E200</f>
        <v>0</v>
      </c>
      <c r="G200" s="400"/>
      <c r="H200" s="407">
        <f t="shared" si="10"/>
        <v>0</v>
      </c>
      <c r="I200" s="400"/>
      <c r="J200" s="400">
        <f t="shared" si="9"/>
        <v>0</v>
      </c>
    </row>
    <row r="201" spans="1:10" s="86" customFormat="1" ht="18" customHeight="1">
      <c r="A201" s="158"/>
      <c r="B201" s="164" t="s">
        <v>14</v>
      </c>
      <c r="C201" s="17" t="s">
        <v>45</v>
      </c>
      <c r="D201" s="130">
        <f>D199*(4/7)*1.57</f>
        <v>0.4216571428571429</v>
      </c>
      <c r="E201" s="379">
        <v>48000</v>
      </c>
      <c r="F201" s="368">
        <f t="shared" si="11"/>
        <v>20239.54285714286</v>
      </c>
      <c r="G201" s="409">
        <v>27000</v>
      </c>
      <c r="H201" s="407">
        <f t="shared" si="10"/>
        <v>11384.742857142859</v>
      </c>
      <c r="I201" s="409">
        <v>48312</v>
      </c>
      <c r="J201" s="400">
        <f t="shared" si="9"/>
        <v>20371.099885714288</v>
      </c>
    </row>
    <row r="202" spans="1:10" ht="18" customHeight="1">
      <c r="A202" s="158"/>
      <c r="B202" s="164" t="s">
        <v>13</v>
      </c>
      <c r="C202" s="17" t="s">
        <v>45</v>
      </c>
      <c r="D202" s="130">
        <f>D199*(2/7)*1.54</f>
        <v>0.20680000000000001</v>
      </c>
      <c r="E202" s="379">
        <v>36500</v>
      </c>
      <c r="F202" s="368">
        <f t="shared" si="11"/>
        <v>7548.2000000000007</v>
      </c>
      <c r="G202" s="400">
        <v>25000</v>
      </c>
      <c r="H202" s="407">
        <f t="shared" si="10"/>
        <v>5170</v>
      </c>
      <c r="I202" s="400">
        <v>40000</v>
      </c>
      <c r="J202" s="400">
        <f t="shared" si="9"/>
        <v>8272</v>
      </c>
    </row>
    <row r="203" spans="1:10" ht="18" customHeight="1">
      <c r="A203" s="158"/>
      <c r="B203" s="164" t="s">
        <v>11</v>
      </c>
      <c r="C203" s="162" t="s">
        <v>12</v>
      </c>
      <c r="D203" s="130">
        <f>D199*(1/7)*1.57*(1440/50)</f>
        <v>3.0359314285714287</v>
      </c>
      <c r="E203" s="379">
        <v>11200</v>
      </c>
      <c r="F203" s="368">
        <f t="shared" si="11"/>
        <v>34002.432000000001</v>
      </c>
      <c r="G203" s="400">
        <v>14000</v>
      </c>
      <c r="H203" s="407">
        <f t="shared" si="10"/>
        <v>42503.040000000001</v>
      </c>
      <c r="I203" s="400">
        <v>13500</v>
      </c>
      <c r="J203" s="400">
        <f t="shared" si="9"/>
        <v>40985.07428571429</v>
      </c>
    </row>
    <row r="204" spans="1:10" ht="18" customHeight="1">
      <c r="A204" s="156"/>
      <c r="B204" s="98" t="s">
        <v>15</v>
      </c>
      <c r="C204" s="53" t="s">
        <v>16</v>
      </c>
      <c r="D204" s="130">
        <f>D209*10</f>
        <v>0.78333333333333344</v>
      </c>
      <c r="E204" s="377">
        <v>2200</v>
      </c>
      <c r="F204" s="368">
        <f t="shared" si="11"/>
        <v>1723.3333333333335</v>
      </c>
      <c r="G204" s="400">
        <v>2000</v>
      </c>
      <c r="H204" s="407">
        <f t="shared" si="10"/>
        <v>1566.666666666667</v>
      </c>
      <c r="I204" s="400">
        <v>2000</v>
      </c>
      <c r="J204" s="400">
        <f t="shared" si="9"/>
        <v>1566.666666666667</v>
      </c>
    </row>
    <row r="205" spans="1:10" ht="18" customHeight="1">
      <c r="A205" s="156"/>
      <c r="B205" s="98" t="s">
        <v>17</v>
      </c>
      <c r="C205" s="53" t="s">
        <v>16</v>
      </c>
      <c r="D205" s="130">
        <f>D210*5</f>
        <v>0.39166666666666672</v>
      </c>
      <c r="E205" s="377">
        <v>1900</v>
      </c>
      <c r="F205" s="368">
        <f t="shared" si="11"/>
        <v>744.16666666666674</v>
      </c>
      <c r="G205" s="400">
        <v>22000</v>
      </c>
      <c r="H205" s="407">
        <f t="shared" si="10"/>
        <v>8616.6666666666679</v>
      </c>
      <c r="I205" s="400">
        <v>3000</v>
      </c>
      <c r="J205" s="400">
        <f t="shared" si="9"/>
        <v>1175.0000000000002</v>
      </c>
    </row>
    <row r="206" spans="1:10" ht="18" customHeight="1">
      <c r="A206" s="158"/>
      <c r="B206" s="161" t="s">
        <v>5</v>
      </c>
      <c r="C206" s="162"/>
      <c r="D206" s="130"/>
      <c r="E206" s="385"/>
      <c r="F206" s="368">
        <f t="shared" si="11"/>
        <v>0</v>
      </c>
      <c r="G206" s="400"/>
      <c r="H206" s="407">
        <f t="shared" si="10"/>
        <v>0</v>
      </c>
      <c r="I206" s="400"/>
      <c r="J206" s="400">
        <f t="shared" si="9"/>
        <v>0</v>
      </c>
    </row>
    <row r="207" spans="1:10" ht="18" customHeight="1">
      <c r="A207" s="158"/>
      <c r="B207" s="164"/>
      <c r="C207" s="162"/>
      <c r="D207" s="130"/>
      <c r="E207" s="379"/>
      <c r="F207" s="368">
        <f t="shared" si="11"/>
        <v>0</v>
      </c>
      <c r="G207" s="400"/>
      <c r="H207" s="407">
        <f t="shared" si="10"/>
        <v>0</v>
      </c>
      <c r="I207" s="400"/>
      <c r="J207" s="400">
        <f t="shared" si="9"/>
        <v>0</v>
      </c>
    </row>
    <row r="208" spans="1:10" ht="18" customHeight="1">
      <c r="A208" s="156"/>
      <c r="B208" s="97" t="s">
        <v>19</v>
      </c>
      <c r="C208" s="53"/>
      <c r="D208" s="130"/>
      <c r="E208" s="377"/>
      <c r="F208" s="368">
        <f t="shared" si="11"/>
        <v>0</v>
      </c>
      <c r="G208" s="400"/>
      <c r="H208" s="407">
        <f t="shared" si="10"/>
        <v>0</v>
      </c>
      <c r="I208" s="400"/>
      <c r="J208" s="400">
        <f t="shared" si="9"/>
        <v>0</v>
      </c>
    </row>
    <row r="209" spans="1:10" ht="18" customHeight="1">
      <c r="A209" s="156"/>
      <c r="B209" s="98" t="s">
        <v>20</v>
      </c>
      <c r="C209" s="53" t="s">
        <v>21</v>
      </c>
      <c r="D209" s="130">
        <f>D199/6</f>
        <v>7.8333333333333338E-2</v>
      </c>
      <c r="E209" s="377">
        <v>25000</v>
      </c>
      <c r="F209" s="368">
        <f t="shared" si="11"/>
        <v>1958.3333333333335</v>
      </c>
      <c r="G209" s="400">
        <v>50000</v>
      </c>
      <c r="H209" s="407">
        <f t="shared" si="10"/>
        <v>3916.666666666667</v>
      </c>
      <c r="I209" s="400">
        <v>80000</v>
      </c>
      <c r="J209" s="400">
        <f t="shared" si="9"/>
        <v>6266.666666666667</v>
      </c>
    </row>
    <row r="210" spans="1:10" ht="18" customHeight="1">
      <c r="A210" s="156"/>
      <c r="B210" s="98" t="s">
        <v>22</v>
      </c>
      <c r="C210" s="53" t="s">
        <v>21</v>
      </c>
      <c r="D210" s="130">
        <f>D199/6</f>
        <v>7.8333333333333338E-2</v>
      </c>
      <c r="E210" s="377">
        <v>25000</v>
      </c>
      <c r="F210" s="368">
        <f t="shared" si="11"/>
        <v>1958.3333333333335</v>
      </c>
      <c r="G210" s="400">
        <v>50000</v>
      </c>
      <c r="H210" s="407">
        <f t="shared" si="10"/>
        <v>3916.666666666667</v>
      </c>
      <c r="I210" s="400">
        <v>40000</v>
      </c>
      <c r="J210" s="400">
        <f t="shared" si="9"/>
        <v>3133.3333333333335</v>
      </c>
    </row>
    <row r="211" spans="1:10" ht="18" customHeight="1">
      <c r="A211" s="157"/>
      <c r="B211" s="97" t="s">
        <v>23</v>
      </c>
      <c r="C211" s="54"/>
      <c r="D211" s="119"/>
      <c r="E211" s="384"/>
      <c r="F211" s="368">
        <f t="shared" si="11"/>
        <v>0</v>
      </c>
      <c r="G211" s="400"/>
      <c r="H211" s="407">
        <f t="shared" si="10"/>
        <v>0</v>
      </c>
      <c r="I211" s="400"/>
      <c r="J211" s="400">
        <f t="shared" si="9"/>
        <v>0</v>
      </c>
    </row>
    <row r="212" spans="1:10" ht="18" customHeight="1">
      <c r="A212" s="157"/>
      <c r="B212" s="97"/>
      <c r="C212" s="54"/>
      <c r="D212" s="119"/>
      <c r="E212" s="384"/>
      <c r="F212" s="368">
        <f t="shared" si="11"/>
        <v>0</v>
      </c>
      <c r="G212" s="400"/>
      <c r="H212" s="407">
        <f t="shared" si="10"/>
        <v>0</v>
      </c>
      <c r="I212" s="400"/>
      <c r="J212" s="400">
        <f t="shared" si="9"/>
        <v>0</v>
      </c>
    </row>
    <row r="213" spans="1:10" ht="18" customHeight="1">
      <c r="A213" s="165"/>
      <c r="B213" s="161" t="s">
        <v>33</v>
      </c>
      <c r="C213" s="162"/>
      <c r="D213" s="130"/>
      <c r="E213" s="379"/>
      <c r="F213" s="368">
        <f t="shared" si="11"/>
        <v>0</v>
      </c>
      <c r="G213" s="400"/>
      <c r="H213" s="407">
        <f t="shared" si="10"/>
        <v>0</v>
      </c>
      <c r="I213" s="400"/>
      <c r="J213" s="400">
        <f t="shared" si="9"/>
        <v>0</v>
      </c>
    </row>
    <row r="214" spans="1:10" ht="18.75" customHeight="1">
      <c r="A214" s="165"/>
      <c r="B214" s="164" t="s">
        <v>34</v>
      </c>
      <c r="C214" s="162" t="s">
        <v>21</v>
      </c>
      <c r="D214" s="130">
        <f>D199/1.64</f>
        <v>0.28658536585365857</v>
      </c>
      <c r="E214" s="379">
        <v>6000</v>
      </c>
      <c r="F214" s="368">
        <f t="shared" si="11"/>
        <v>1719.5121951219514</v>
      </c>
      <c r="G214" s="400">
        <v>10000</v>
      </c>
      <c r="H214" s="407">
        <f t="shared" si="10"/>
        <v>2865.8536585365855</v>
      </c>
      <c r="I214" s="400">
        <v>56676</v>
      </c>
      <c r="J214" s="400">
        <f t="shared" si="9"/>
        <v>16242.512195121953</v>
      </c>
    </row>
    <row r="215" spans="1:10" ht="18.75" customHeight="1">
      <c r="A215" s="165"/>
      <c r="B215" s="164" t="s">
        <v>7</v>
      </c>
      <c r="C215" s="162" t="s">
        <v>21</v>
      </c>
      <c r="D215" s="130">
        <f>+D214*2</f>
        <v>0.57317073170731714</v>
      </c>
      <c r="E215" s="379">
        <v>4500</v>
      </c>
      <c r="F215" s="368">
        <f t="shared" si="11"/>
        <v>2579.268292682927</v>
      </c>
      <c r="G215" s="400">
        <v>5000</v>
      </c>
      <c r="H215" s="407">
        <f t="shared" si="10"/>
        <v>2865.8536585365855</v>
      </c>
      <c r="I215" s="400">
        <v>75000</v>
      </c>
      <c r="J215" s="400">
        <f t="shared" si="9"/>
        <v>42987.804878048788</v>
      </c>
    </row>
    <row r="216" spans="1:10" ht="18.75" customHeight="1">
      <c r="A216" s="166"/>
      <c r="B216" s="161" t="s">
        <v>119</v>
      </c>
      <c r="C216" s="167"/>
      <c r="D216" s="119"/>
      <c r="E216" s="385"/>
      <c r="F216" s="368">
        <f t="shared" si="11"/>
        <v>0</v>
      </c>
      <c r="G216" s="400"/>
      <c r="H216" s="407">
        <f t="shared" si="10"/>
        <v>0</v>
      </c>
      <c r="I216" s="400"/>
      <c r="J216" s="400">
        <f t="shared" si="9"/>
        <v>0</v>
      </c>
    </row>
    <row r="217" spans="1:10" ht="18.75" customHeight="1">
      <c r="A217" s="165"/>
      <c r="B217" s="164"/>
      <c r="C217" s="162"/>
      <c r="D217" s="130"/>
      <c r="E217" s="379"/>
      <c r="F217" s="368">
        <f t="shared" si="11"/>
        <v>0</v>
      </c>
      <c r="G217" s="400"/>
      <c r="H217" s="407">
        <f t="shared" si="10"/>
        <v>0</v>
      </c>
      <c r="I217" s="400"/>
      <c r="J217" s="400">
        <f t="shared" si="9"/>
        <v>0</v>
      </c>
    </row>
    <row r="218" spans="1:10" ht="18.75" customHeight="1">
      <c r="A218" s="169">
        <v>11</v>
      </c>
      <c r="B218" s="468" t="s">
        <v>76</v>
      </c>
      <c r="C218" s="468"/>
      <c r="D218" s="468"/>
      <c r="E218" s="372"/>
      <c r="F218" s="368">
        <f t="shared" si="11"/>
        <v>0</v>
      </c>
      <c r="G218" s="400"/>
      <c r="H218" s="407">
        <f t="shared" si="10"/>
        <v>0</v>
      </c>
      <c r="I218" s="400"/>
      <c r="J218" s="400">
        <f t="shared" si="9"/>
        <v>0</v>
      </c>
    </row>
    <row r="219" spans="1:10" s="60" customFormat="1" ht="18.75" customHeight="1">
      <c r="A219" s="141">
        <v>11.01</v>
      </c>
      <c r="B219" s="95" t="s">
        <v>75</v>
      </c>
      <c r="C219" s="39" t="s">
        <v>36</v>
      </c>
      <c r="D219" s="112">
        <v>30</v>
      </c>
      <c r="E219" s="380">
        <v>10800.549351678132</v>
      </c>
      <c r="F219" s="367">
        <f t="shared" si="11"/>
        <v>324016.48055034393</v>
      </c>
      <c r="G219" s="408"/>
      <c r="H219" s="408">
        <f t="shared" si="10"/>
        <v>0</v>
      </c>
      <c r="I219" s="408">
        <v>13749.629410881802</v>
      </c>
      <c r="J219" s="403">
        <f t="shared" si="9"/>
        <v>412488.88232645404</v>
      </c>
    </row>
    <row r="220" spans="1:10" ht="18.75" customHeight="1">
      <c r="A220" s="150"/>
      <c r="B220" s="18"/>
      <c r="C220" s="19"/>
      <c r="D220" s="130">
        <f>D219*0.05</f>
        <v>1.5</v>
      </c>
      <c r="E220" s="373"/>
      <c r="F220" s="368">
        <f t="shared" si="11"/>
        <v>0</v>
      </c>
      <c r="G220" s="400"/>
      <c r="H220" s="407">
        <f t="shared" si="10"/>
        <v>0</v>
      </c>
      <c r="I220" s="400">
        <v>200000</v>
      </c>
      <c r="J220" s="400">
        <f t="shared" si="9"/>
        <v>300000</v>
      </c>
    </row>
    <row r="221" spans="1:10" s="86" customFormat="1" ht="18.75" customHeight="1">
      <c r="A221" s="151"/>
      <c r="B221" s="93" t="s">
        <v>2</v>
      </c>
      <c r="C221" s="22"/>
      <c r="D221" s="113"/>
      <c r="E221" s="374"/>
      <c r="F221" s="368">
        <f t="shared" si="11"/>
        <v>0</v>
      </c>
      <c r="G221" s="409"/>
      <c r="H221" s="407">
        <f t="shared" si="10"/>
        <v>0</v>
      </c>
      <c r="I221" s="409"/>
      <c r="J221" s="400">
        <f t="shared" si="9"/>
        <v>0</v>
      </c>
    </row>
    <row r="222" spans="1:10" ht="18.75" customHeight="1">
      <c r="A222" s="145"/>
      <c r="B222" s="12" t="s">
        <v>30</v>
      </c>
      <c r="C222" s="8" t="s">
        <v>28</v>
      </c>
      <c r="D222" s="113">
        <f>D219*0.1*1.5</f>
        <v>4.5</v>
      </c>
      <c r="E222" s="368">
        <v>25500</v>
      </c>
      <c r="F222" s="368">
        <f t="shared" si="11"/>
        <v>114750</v>
      </c>
      <c r="G222" s="400">
        <v>15000</v>
      </c>
      <c r="H222" s="407">
        <f t="shared" si="10"/>
        <v>67500</v>
      </c>
      <c r="I222" s="400">
        <v>25000</v>
      </c>
      <c r="J222" s="400">
        <f t="shared" si="9"/>
        <v>112500</v>
      </c>
    </row>
    <row r="223" spans="1:10" ht="18.75" customHeight="1">
      <c r="A223" s="151"/>
      <c r="B223" s="94" t="s">
        <v>11</v>
      </c>
      <c r="C223" s="22" t="s">
        <v>12</v>
      </c>
      <c r="D223" s="113">
        <f>D220*(1/13)*1.57*(1440/50)</f>
        <v>5.2172307692307696</v>
      </c>
      <c r="E223" s="374">
        <v>11200</v>
      </c>
      <c r="F223" s="368">
        <f t="shared" si="11"/>
        <v>58432.984615384616</v>
      </c>
      <c r="G223" s="400">
        <v>14000</v>
      </c>
      <c r="H223" s="407">
        <f t="shared" si="10"/>
        <v>73041.23076923078</v>
      </c>
      <c r="I223" s="400">
        <v>13500</v>
      </c>
      <c r="J223" s="400">
        <f t="shared" si="9"/>
        <v>70432.61538461539</v>
      </c>
    </row>
    <row r="224" spans="1:10" ht="18.75" customHeight="1">
      <c r="A224" s="151"/>
      <c r="B224" s="94" t="s">
        <v>13</v>
      </c>
      <c r="C224" s="22" t="s">
        <v>10</v>
      </c>
      <c r="D224" s="113">
        <f>D220*(4/13)*1.57</f>
        <v>0.72461538461538466</v>
      </c>
      <c r="E224" s="374">
        <v>36500</v>
      </c>
      <c r="F224" s="368">
        <f t="shared" si="11"/>
        <v>26448.461538461539</v>
      </c>
      <c r="G224" s="400">
        <v>25000</v>
      </c>
      <c r="H224" s="407">
        <f t="shared" si="10"/>
        <v>18115.384615384617</v>
      </c>
      <c r="I224" s="400">
        <v>40000</v>
      </c>
      <c r="J224" s="400">
        <f t="shared" si="9"/>
        <v>28984.615384615387</v>
      </c>
    </row>
    <row r="225" spans="1:10" ht="18.75" customHeight="1">
      <c r="A225" s="151"/>
      <c r="B225" s="94" t="s">
        <v>14</v>
      </c>
      <c r="C225" s="22" t="s">
        <v>10</v>
      </c>
      <c r="D225" s="113">
        <f>D220*(8/13)*1.57</f>
        <v>1.4492307692307693</v>
      </c>
      <c r="E225" s="374">
        <v>43500</v>
      </c>
      <c r="F225" s="368">
        <f t="shared" si="11"/>
        <v>63041.538461538468</v>
      </c>
      <c r="G225" s="400">
        <v>27000</v>
      </c>
      <c r="H225" s="407">
        <f t="shared" si="10"/>
        <v>39129.230769230773</v>
      </c>
      <c r="I225" s="400">
        <v>48312</v>
      </c>
      <c r="J225" s="400">
        <f t="shared" si="9"/>
        <v>70015.236923076925</v>
      </c>
    </row>
    <row r="226" spans="1:10" ht="18.75" customHeight="1">
      <c r="A226" s="152"/>
      <c r="B226" s="93" t="s">
        <v>18</v>
      </c>
      <c r="C226" s="27"/>
      <c r="D226" s="116"/>
      <c r="E226" s="381"/>
      <c r="F226" s="368">
        <f t="shared" si="11"/>
        <v>0</v>
      </c>
      <c r="G226" s="400"/>
      <c r="H226" s="407">
        <f t="shared" si="10"/>
        <v>0</v>
      </c>
      <c r="I226" s="400"/>
      <c r="J226" s="400">
        <f t="shared" si="9"/>
        <v>0</v>
      </c>
    </row>
    <row r="227" spans="1:10" ht="18.75" customHeight="1">
      <c r="A227" s="152"/>
      <c r="B227" s="93"/>
      <c r="C227" s="27"/>
      <c r="D227" s="116"/>
      <c r="E227" s="381"/>
      <c r="F227" s="368">
        <f t="shared" si="11"/>
        <v>0</v>
      </c>
      <c r="G227" s="400"/>
      <c r="H227" s="407">
        <f t="shared" si="10"/>
        <v>0</v>
      </c>
      <c r="I227" s="400"/>
      <c r="J227" s="400">
        <f t="shared" si="9"/>
        <v>0</v>
      </c>
    </row>
    <row r="228" spans="1:10" ht="18.75" customHeight="1">
      <c r="A228" s="156"/>
      <c r="B228" s="97" t="s">
        <v>19</v>
      </c>
      <c r="C228" s="53"/>
      <c r="D228" s="130"/>
      <c r="E228" s="377"/>
      <c r="F228" s="368">
        <f t="shared" si="11"/>
        <v>0</v>
      </c>
      <c r="G228" s="400"/>
      <c r="H228" s="407">
        <f t="shared" si="10"/>
        <v>0</v>
      </c>
      <c r="I228" s="400"/>
      <c r="J228" s="400">
        <f t="shared" si="9"/>
        <v>0</v>
      </c>
    </row>
    <row r="229" spans="1:10" ht="18.75" customHeight="1">
      <c r="A229" s="156"/>
      <c r="B229" s="98" t="s">
        <v>20</v>
      </c>
      <c r="C229" s="53" t="s">
        <v>21</v>
      </c>
      <c r="D229" s="130">
        <f>D215/6</f>
        <v>9.5528455284552852E-2</v>
      </c>
      <c r="E229" s="377">
        <v>18500</v>
      </c>
      <c r="F229" s="368">
        <f t="shared" si="11"/>
        <v>1767.2764227642278</v>
      </c>
      <c r="G229" s="400">
        <v>50000</v>
      </c>
      <c r="H229" s="407">
        <f t="shared" si="10"/>
        <v>4776.4227642276428</v>
      </c>
      <c r="I229" s="400">
        <v>80000</v>
      </c>
      <c r="J229" s="400">
        <f t="shared" si="9"/>
        <v>7642.2764227642283</v>
      </c>
    </row>
    <row r="230" spans="1:10" ht="18.75" customHeight="1">
      <c r="A230" s="156"/>
      <c r="B230" s="98" t="s">
        <v>22</v>
      </c>
      <c r="C230" s="53" t="s">
        <v>21</v>
      </c>
      <c r="D230" s="130">
        <f>D215/6</f>
        <v>9.5528455284552852E-2</v>
      </c>
      <c r="E230" s="377">
        <v>16500</v>
      </c>
      <c r="F230" s="368">
        <f t="shared" si="11"/>
        <v>1576.219512195122</v>
      </c>
      <c r="G230" s="400">
        <v>50000</v>
      </c>
      <c r="H230" s="407">
        <f t="shared" si="10"/>
        <v>4776.4227642276428</v>
      </c>
      <c r="I230" s="400">
        <v>40000</v>
      </c>
      <c r="J230" s="400">
        <f t="shared" si="9"/>
        <v>3821.1382113821142</v>
      </c>
    </row>
    <row r="231" spans="1:10" ht="18.75" customHeight="1">
      <c r="A231" s="157"/>
      <c r="B231" s="97" t="s">
        <v>23</v>
      </c>
      <c r="C231" s="54"/>
      <c r="D231" s="119"/>
      <c r="E231" s="384"/>
      <c r="F231" s="368">
        <f t="shared" si="11"/>
        <v>0</v>
      </c>
      <c r="G231" s="400"/>
      <c r="H231" s="407">
        <f t="shared" si="10"/>
        <v>0</v>
      </c>
      <c r="I231" s="400"/>
      <c r="J231" s="400">
        <f t="shared" si="9"/>
        <v>0</v>
      </c>
    </row>
    <row r="232" spans="1:10" ht="18.75" customHeight="1">
      <c r="A232" s="151"/>
      <c r="B232" s="94"/>
      <c r="C232" s="22"/>
      <c r="D232" s="113"/>
      <c r="E232" s="374"/>
      <c r="F232" s="368">
        <f t="shared" si="11"/>
        <v>0</v>
      </c>
      <c r="G232" s="400"/>
      <c r="H232" s="407">
        <f t="shared" si="10"/>
        <v>0</v>
      </c>
      <c r="I232" s="400"/>
      <c r="J232" s="400">
        <f t="shared" si="9"/>
        <v>0</v>
      </c>
    </row>
    <row r="233" spans="1:10" ht="18.75" customHeight="1">
      <c r="A233" s="151"/>
      <c r="B233" s="93" t="s">
        <v>6</v>
      </c>
      <c r="C233" s="22"/>
      <c r="D233" s="113"/>
      <c r="E233" s="374"/>
      <c r="F233" s="368">
        <f t="shared" si="11"/>
        <v>0</v>
      </c>
      <c r="G233" s="400"/>
      <c r="H233" s="407">
        <f t="shared" si="10"/>
        <v>0</v>
      </c>
      <c r="I233" s="400"/>
      <c r="J233" s="400">
        <f t="shared" si="9"/>
        <v>0</v>
      </c>
    </row>
    <row r="234" spans="1:10" ht="18.75" customHeight="1">
      <c r="A234" s="151"/>
      <c r="B234" s="94" t="s">
        <v>24</v>
      </c>
      <c r="C234" s="22" t="s">
        <v>21</v>
      </c>
      <c r="D234" s="113">
        <f>(D220/6)*2</f>
        <v>0.5</v>
      </c>
      <c r="E234" s="374">
        <v>12500</v>
      </c>
      <c r="F234" s="368">
        <f t="shared" si="11"/>
        <v>6250</v>
      </c>
      <c r="G234" s="400">
        <v>10000</v>
      </c>
      <c r="H234" s="407">
        <f t="shared" si="10"/>
        <v>5000</v>
      </c>
      <c r="I234" s="400">
        <v>81550</v>
      </c>
      <c r="J234" s="400">
        <f t="shared" si="9"/>
        <v>40775</v>
      </c>
    </row>
    <row r="235" spans="1:10" ht="18.75" customHeight="1">
      <c r="A235" s="151"/>
      <c r="B235" s="94" t="s">
        <v>25</v>
      </c>
      <c r="C235" s="22" t="s">
        <v>21</v>
      </c>
      <c r="D235" s="113">
        <f>(D220/6)*18</f>
        <v>4.5</v>
      </c>
      <c r="E235" s="374">
        <v>11500</v>
      </c>
      <c r="F235" s="368">
        <f t="shared" si="11"/>
        <v>51750</v>
      </c>
      <c r="G235" s="400">
        <v>5000</v>
      </c>
      <c r="H235" s="407">
        <f t="shared" si="10"/>
        <v>22500</v>
      </c>
      <c r="I235" s="400">
        <v>17404</v>
      </c>
      <c r="J235" s="400">
        <f t="shared" si="9"/>
        <v>78318</v>
      </c>
    </row>
    <row r="236" spans="1:10" ht="18.75" customHeight="1">
      <c r="A236" s="152"/>
      <c r="B236" s="93" t="s">
        <v>27</v>
      </c>
      <c r="C236" s="27"/>
      <c r="D236" s="116"/>
      <c r="E236" s="381"/>
      <c r="F236" s="368">
        <f t="shared" si="11"/>
        <v>0</v>
      </c>
      <c r="G236" s="400"/>
      <c r="H236" s="407">
        <f t="shared" si="10"/>
        <v>0</v>
      </c>
      <c r="I236" s="400"/>
      <c r="J236" s="400">
        <f t="shared" si="9"/>
        <v>0</v>
      </c>
    </row>
    <row r="237" spans="1:10" ht="18.75" customHeight="1">
      <c r="A237" s="151"/>
      <c r="B237" s="94"/>
      <c r="C237" s="22"/>
      <c r="D237" s="113"/>
      <c r="E237" s="374"/>
      <c r="F237" s="368">
        <f t="shared" si="11"/>
        <v>0</v>
      </c>
      <c r="G237" s="400"/>
      <c r="H237" s="407">
        <f t="shared" si="10"/>
        <v>0</v>
      </c>
      <c r="I237" s="400"/>
      <c r="J237" s="400">
        <f t="shared" si="9"/>
        <v>0</v>
      </c>
    </row>
    <row r="238" spans="1:10" ht="18.75" customHeight="1">
      <c r="A238" s="141">
        <v>12.01</v>
      </c>
      <c r="B238" s="2" t="s">
        <v>80</v>
      </c>
      <c r="C238" s="62" t="s">
        <v>47</v>
      </c>
      <c r="D238" s="121">
        <v>30</v>
      </c>
      <c r="E238" s="367">
        <v>6241.9761333333336</v>
      </c>
      <c r="F238" s="367">
        <f t="shared" si="11"/>
        <v>187259.28400000001</v>
      </c>
      <c r="G238" s="403"/>
      <c r="H238" s="408">
        <f t="shared" si="10"/>
        <v>0</v>
      </c>
      <c r="I238" s="403">
        <v>5343.7606666666679</v>
      </c>
      <c r="J238" s="403">
        <f t="shared" si="9"/>
        <v>160312.82000000004</v>
      </c>
    </row>
    <row r="239" spans="1:10" ht="18.75" customHeight="1">
      <c r="A239" s="145"/>
      <c r="B239" s="57" t="s">
        <v>2</v>
      </c>
      <c r="C239" s="42"/>
      <c r="D239" s="122"/>
      <c r="E239" s="368"/>
      <c r="F239" s="368">
        <f t="shared" si="11"/>
        <v>0</v>
      </c>
      <c r="G239" s="400"/>
      <c r="H239" s="407">
        <f t="shared" si="10"/>
        <v>0</v>
      </c>
      <c r="I239" s="400"/>
      <c r="J239" s="400">
        <f t="shared" si="9"/>
        <v>0</v>
      </c>
    </row>
    <row r="240" spans="1:10" ht="18.75" customHeight="1">
      <c r="A240" s="145"/>
      <c r="B240" s="46" t="s">
        <v>11</v>
      </c>
      <c r="C240" s="42" t="s">
        <v>12</v>
      </c>
      <c r="D240" s="122">
        <f>D238*(1/6)*0.032*(1440/50)*1.54</f>
        <v>7.0963200000000013</v>
      </c>
      <c r="E240" s="368">
        <v>11200</v>
      </c>
      <c r="F240" s="368">
        <f t="shared" si="11"/>
        <v>79478.784000000014</v>
      </c>
      <c r="G240" s="400">
        <v>14000</v>
      </c>
      <c r="H240" s="407">
        <f t="shared" si="10"/>
        <v>99348.480000000025</v>
      </c>
      <c r="I240" s="400">
        <v>13500</v>
      </c>
      <c r="J240" s="400">
        <f t="shared" si="9"/>
        <v>95800.320000000022</v>
      </c>
    </row>
    <row r="241" spans="1:10" ht="18.75" customHeight="1">
      <c r="A241" s="145"/>
      <c r="B241" s="46" t="s">
        <v>13</v>
      </c>
      <c r="C241" s="42" t="s">
        <v>10</v>
      </c>
      <c r="D241" s="122">
        <f>D238*(5/6)*0.032*1.54</f>
        <v>1.2320000000000002</v>
      </c>
      <c r="E241" s="368">
        <v>36500</v>
      </c>
      <c r="F241" s="368">
        <f t="shared" si="11"/>
        <v>44968.000000000007</v>
      </c>
      <c r="G241" s="400">
        <v>25000</v>
      </c>
      <c r="H241" s="407">
        <f t="shared" si="10"/>
        <v>30800.000000000004</v>
      </c>
      <c r="I241" s="400">
        <v>40000</v>
      </c>
      <c r="J241" s="400">
        <f t="shared" si="9"/>
        <v>49280.000000000007</v>
      </c>
    </row>
    <row r="242" spans="1:10" ht="18.75" customHeight="1">
      <c r="A242" s="152"/>
      <c r="B242" s="93" t="s">
        <v>5</v>
      </c>
      <c r="C242" s="27"/>
      <c r="D242" s="116"/>
      <c r="E242" s="381"/>
      <c r="F242" s="368">
        <f t="shared" si="11"/>
        <v>0</v>
      </c>
      <c r="G242" s="400"/>
      <c r="H242" s="407">
        <f t="shared" si="10"/>
        <v>0</v>
      </c>
      <c r="I242" s="400"/>
      <c r="J242" s="400">
        <f t="shared" si="9"/>
        <v>0</v>
      </c>
    </row>
    <row r="243" spans="1:10" ht="18.75" customHeight="1">
      <c r="A243" s="151"/>
      <c r="B243" s="94"/>
      <c r="C243" s="22"/>
      <c r="D243" s="113"/>
      <c r="E243" s="374"/>
      <c r="F243" s="368">
        <f t="shared" si="11"/>
        <v>0</v>
      </c>
      <c r="G243" s="400"/>
      <c r="H243" s="407">
        <f t="shared" si="10"/>
        <v>0</v>
      </c>
      <c r="I243" s="400"/>
      <c r="J243" s="400">
        <f t="shared" si="9"/>
        <v>0</v>
      </c>
    </row>
    <row r="244" spans="1:10" ht="18.75" customHeight="1">
      <c r="A244" s="151"/>
      <c r="B244" s="93" t="s">
        <v>6</v>
      </c>
      <c r="C244" s="22"/>
      <c r="D244" s="113"/>
      <c r="E244" s="374"/>
      <c r="F244" s="368">
        <f t="shared" si="11"/>
        <v>0</v>
      </c>
      <c r="G244" s="400"/>
      <c r="H244" s="407">
        <f t="shared" si="10"/>
        <v>0</v>
      </c>
      <c r="I244" s="400"/>
      <c r="J244" s="400">
        <f t="shared" si="9"/>
        <v>0</v>
      </c>
    </row>
    <row r="245" spans="1:10" ht="18.75" customHeight="1">
      <c r="A245" s="151"/>
      <c r="B245" s="94" t="s">
        <v>34</v>
      </c>
      <c r="C245" s="22" t="s">
        <v>8</v>
      </c>
      <c r="D245" s="113">
        <f>D238/16</f>
        <v>1.875</v>
      </c>
      <c r="E245" s="374">
        <v>14500</v>
      </c>
      <c r="F245" s="368">
        <f t="shared" si="11"/>
        <v>27187.5</v>
      </c>
      <c r="G245" s="400">
        <v>10000</v>
      </c>
      <c r="H245" s="407">
        <f t="shared" si="10"/>
        <v>18750</v>
      </c>
      <c r="I245" s="400">
        <v>5908</v>
      </c>
      <c r="J245" s="400">
        <f t="shared" si="9"/>
        <v>11077.5</v>
      </c>
    </row>
    <row r="246" spans="1:10" ht="18.75" customHeight="1">
      <c r="A246" s="151"/>
      <c r="B246" s="94" t="s">
        <v>7</v>
      </c>
      <c r="C246" s="22" t="s">
        <v>8</v>
      </c>
      <c r="D246" s="113">
        <f>D245*2</f>
        <v>3.75</v>
      </c>
      <c r="E246" s="374">
        <v>9500</v>
      </c>
      <c r="F246" s="368">
        <f t="shared" si="11"/>
        <v>35625</v>
      </c>
      <c r="G246" s="400">
        <v>5000</v>
      </c>
      <c r="H246" s="407">
        <f t="shared" si="10"/>
        <v>18750</v>
      </c>
      <c r="I246" s="400">
        <v>1108</v>
      </c>
      <c r="J246" s="400">
        <f t="shared" si="9"/>
        <v>4155</v>
      </c>
    </row>
    <row r="247" spans="1:10" ht="18">
      <c r="A247" s="152"/>
      <c r="B247" s="93" t="s">
        <v>9</v>
      </c>
      <c r="C247" s="27"/>
      <c r="D247" s="116"/>
      <c r="E247" s="381"/>
      <c r="F247" s="368">
        <f t="shared" si="11"/>
        <v>0</v>
      </c>
      <c r="G247" s="400"/>
      <c r="H247" s="407">
        <f t="shared" si="10"/>
        <v>0</v>
      </c>
      <c r="I247" s="400"/>
      <c r="J247" s="400">
        <f t="shared" si="9"/>
        <v>0</v>
      </c>
    </row>
    <row r="248" spans="1:10" ht="18">
      <c r="A248" s="152"/>
      <c r="B248" s="93"/>
      <c r="C248" s="27"/>
      <c r="D248" s="116"/>
      <c r="E248" s="381"/>
      <c r="F248" s="368">
        <f t="shared" si="11"/>
        <v>0</v>
      </c>
      <c r="G248" s="400"/>
      <c r="H248" s="407">
        <f t="shared" si="10"/>
        <v>0</v>
      </c>
      <c r="I248" s="400"/>
      <c r="J248" s="400">
        <f t="shared" si="9"/>
        <v>0</v>
      </c>
    </row>
    <row r="249" spans="1:10" ht="19.5">
      <c r="A249" s="153">
        <v>13</v>
      </c>
      <c r="B249" s="475" t="s">
        <v>48</v>
      </c>
      <c r="C249" s="475"/>
      <c r="D249" s="475"/>
      <c r="E249" s="376"/>
      <c r="F249" s="368">
        <f t="shared" si="11"/>
        <v>0</v>
      </c>
      <c r="G249" s="400"/>
      <c r="H249" s="407">
        <f t="shared" si="10"/>
        <v>0</v>
      </c>
      <c r="I249" s="400"/>
      <c r="J249" s="400">
        <f t="shared" si="9"/>
        <v>0</v>
      </c>
    </row>
    <row r="250" spans="1:10" ht="19.5">
      <c r="A250" s="154">
        <v>13.01</v>
      </c>
      <c r="B250" s="15" t="s">
        <v>49</v>
      </c>
      <c r="C250" s="34" t="s">
        <v>50</v>
      </c>
      <c r="D250" s="120">
        <f>((5+6+2.5)*3)-(3.78+3)</f>
        <v>33.72</v>
      </c>
      <c r="E250" s="367">
        <v>4014.7471999999998</v>
      </c>
      <c r="F250" s="367">
        <f t="shared" si="11"/>
        <v>135377.27558399999</v>
      </c>
      <c r="G250" s="403"/>
      <c r="H250" s="408">
        <f t="shared" si="10"/>
        <v>0</v>
      </c>
      <c r="I250" s="403">
        <v>5999.9160000000002</v>
      </c>
      <c r="J250" s="403">
        <f t="shared" si="9"/>
        <v>202317.16751999999</v>
      </c>
    </row>
    <row r="251" spans="1:10">
      <c r="A251" s="151"/>
      <c r="B251" s="57" t="s">
        <v>51</v>
      </c>
      <c r="C251" s="42"/>
      <c r="D251" s="113"/>
      <c r="E251" s="368"/>
      <c r="F251" s="368">
        <f t="shared" si="11"/>
        <v>0</v>
      </c>
      <c r="G251" s="400"/>
      <c r="H251" s="407">
        <f t="shared" si="10"/>
        <v>0</v>
      </c>
      <c r="I251" s="400"/>
      <c r="J251" s="400">
        <f t="shared" si="9"/>
        <v>0</v>
      </c>
    </row>
    <row r="252" spans="1:10" s="86" customFormat="1">
      <c r="A252" s="150"/>
      <c r="B252" s="46" t="s">
        <v>52</v>
      </c>
      <c r="C252" s="42" t="s">
        <v>12</v>
      </c>
      <c r="D252" s="113">
        <f>D250*0.015*(1/5)*1.54*(1440/50)</f>
        <v>4.4866483199999996</v>
      </c>
      <c r="E252" s="368">
        <v>11200</v>
      </c>
      <c r="F252" s="368">
        <f t="shared" si="11"/>
        <v>50250.461183999992</v>
      </c>
      <c r="G252" s="409">
        <v>14000</v>
      </c>
      <c r="H252" s="407">
        <f t="shared" si="10"/>
        <v>62813.076479999996</v>
      </c>
      <c r="I252" s="409">
        <v>11000</v>
      </c>
      <c r="J252" s="400">
        <f t="shared" si="9"/>
        <v>49353.131519999995</v>
      </c>
    </row>
    <row r="253" spans="1:10">
      <c r="A253" s="170"/>
      <c r="B253" s="46" t="s">
        <v>13</v>
      </c>
      <c r="C253" s="42" t="s">
        <v>28</v>
      </c>
      <c r="D253" s="113">
        <f>D250*0.015*1.54*(4/5)</f>
        <v>0.62314559999999997</v>
      </c>
      <c r="E253" s="368">
        <v>36500</v>
      </c>
      <c r="F253" s="368">
        <f t="shared" si="11"/>
        <v>22744.814399999999</v>
      </c>
      <c r="G253" s="400">
        <v>25000</v>
      </c>
      <c r="H253" s="407">
        <f t="shared" si="10"/>
        <v>15578.64</v>
      </c>
      <c r="I253" s="400">
        <v>40000</v>
      </c>
      <c r="J253" s="400">
        <f t="shared" si="9"/>
        <v>24925.823999999997</v>
      </c>
    </row>
    <row r="254" spans="1:10" ht="18">
      <c r="A254" s="171"/>
      <c r="B254" s="57" t="s">
        <v>5</v>
      </c>
      <c r="C254" s="58"/>
      <c r="D254" s="116"/>
      <c r="E254" s="378"/>
      <c r="F254" s="368">
        <f t="shared" si="11"/>
        <v>0</v>
      </c>
      <c r="G254" s="400"/>
      <c r="H254" s="407">
        <f t="shared" si="10"/>
        <v>0</v>
      </c>
      <c r="I254" s="400"/>
      <c r="J254" s="400">
        <f t="shared" si="9"/>
        <v>0</v>
      </c>
    </row>
    <row r="255" spans="1:10">
      <c r="A255" s="170"/>
      <c r="B255" s="46"/>
      <c r="C255" s="42"/>
      <c r="D255" s="113"/>
      <c r="E255" s="368"/>
      <c r="F255" s="368">
        <f t="shared" si="11"/>
        <v>0</v>
      </c>
      <c r="G255" s="400"/>
      <c r="H255" s="407">
        <f t="shared" si="10"/>
        <v>0</v>
      </c>
      <c r="I255" s="400"/>
      <c r="J255" s="400">
        <f t="shared" si="9"/>
        <v>0</v>
      </c>
    </row>
    <row r="256" spans="1:10">
      <c r="A256" s="170"/>
      <c r="B256" s="57" t="s">
        <v>53</v>
      </c>
      <c r="C256" s="42"/>
      <c r="D256" s="113"/>
      <c r="E256" s="368"/>
      <c r="F256" s="368">
        <f t="shared" si="11"/>
        <v>0</v>
      </c>
      <c r="G256" s="400"/>
      <c r="H256" s="407">
        <f t="shared" si="10"/>
        <v>0</v>
      </c>
      <c r="I256" s="400"/>
      <c r="J256" s="400">
        <f t="shared" si="9"/>
        <v>0</v>
      </c>
    </row>
    <row r="257" spans="1:10">
      <c r="A257" s="170"/>
      <c r="B257" s="46" t="s">
        <v>34</v>
      </c>
      <c r="C257" s="42" t="s">
        <v>8</v>
      </c>
      <c r="D257" s="113">
        <f>D250/10</f>
        <v>3.3719999999999999</v>
      </c>
      <c r="E257" s="368">
        <v>4500</v>
      </c>
      <c r="F257" s="368">
        <f t="shared" si="11"/>
        <v>15174</v>
      </c>
      <c r="G257" s="400">
        <v>10000</v>
      </c>
      <c r="H257" s="407">
        <f t="shared" si="10"/>
        <v>33720</v>
      </c>
      <c r="I257" s="400">
        <v>25315</v>
      </c>
      <c r="J257" s="400">
        <f t="shared" si="9"/>
        <v>85362.18</v>
      </c>
    </row>
    <row r="258" spans="1:10">
      <c r="A258" s="170"/>
      <c r="B258" s="46" t="s">
        <v>7</v>
      </c>
      <c r="C258" s="42" t="s">
        <v>8</v>
      </c>
      <c r="D258" s="113">
        <f>D257*4</f>
        <v>13.488</v>
      </c>
      <c r="E258" s="368">
        <v>3500</v>
      </c>
      <c r="F258" s="368">
        <f t="shared" si="11"/>
        <v>47208</v>
      </c>
      <c r="G258" s="400">
        <v>5000</v>
      </c>
      <c r="H258" s="407">
        <f t="shared" si="10"/>
        <v>67440</v>
      </c>
      <c r="I258" s="400">
        <v>3164</v>
      </c>
      <c r="J258" s="400">
        <f t="shared" si="9"/>
        <v>42676.031999999999</v>
      </c>
    </row>
    <row r="259" spans="1:10">
      <c r="A259" s="172"/>
      <c r="B259" s="93" t="s">
        <v>54</v>
      </c>
      <c r="C259" s="47"/>
      <c r="D259" s="113"/>
      <c r="E259" s="378"/>
      <c r="F259" s="368">
        <f t="shared" si="11"/>
        <v>0</v>
      </c>
      <c r="G259" s="400"/>
      <c r="H259" s="407">
        <f t="shared" si="10"/>
        <v>0</v>
      </c>
      <c r="I259" s="400"/>
      <c r="J259" s="400">
        <f t="shared" si="9"/>
        <v>0</v>
      </c>
    </row>
    <row r="260" spans="1:10">
      <c r="A260" s="142"/>
      <c r="B260" s="46"/>
      <c r="C260" s="42"/>
      <c r="D260" s="113"/>
      <c r="E260" s="368"/>
      <c r="F260" s="368">
        <f t="shared" si="11"/>
        <v>0</v>
      </c>
      <c r="G260" s="400"/>
      <c r="H260" s="407">
        <f t="shared" si="10"/>
        <v>0</v>
      </c>
      <c r="I260" s="400"/>
      <c r="J260" s="400">
        <f t="shared" si="9"/>
        <v>0</v>
      </c>
    </row>
    <row r="261" spans="1:10" ht="19.5">
      <c r="A261" s="173">
        <v>14</v>
      </c>
      <c r="B261" s="100" t="s">
        <v>55</v>
      </c>
      <c r="C261" s="90"/>
      <c r="D261" s="124"/>
      <c r="E261" s="382"/>
      <c r="F261" s="368">
        <f t="shared" si="11"/>
        <v>0</v>
      </c>
      <c r="G261" s="400"/>
      <c r="H261" s="407">
        <f t="shared" si="10"/>
        <v>0</v>
      </c>
      <c r="I261" s="400"/>
      <c r="J261" s="400">
        <f t="shared" ref="J261:J324" si="12">D261*I261</f>
        <v>0</v>
      </c>
    </row>
    <row r="262" spans="1:10" ht="19.5">
      <c r="A262" s="174">
        <v>14.01</v>
      </c>
      <c r="B262" s="15" t="s">
        <v>49</v>
      </c>
      <c r="C262" s="34" t="s">
        <v>1</v>
      </c>
      <c r="D262" s="120">
        <f>D250</f>
        <v>33.72</v>
      </c>
      <c r="E262" s="367">
        <v>6350.0782918149471</v>
      </c>
      <c r="F262" s="367">
        <f t="shared" si="11"/>
        <v>214124.64</v>
      </c>
      <c r="G262" s="403"/>
      <c r="H262" s="408">
        <f t="shared" si="10"/>
        <v>0</v>
      </c>
      <c r="I262" s="403">
        <v>7000.0337500000005</v>
      </c>
      <c r="J262" s="403">
        <f t="shared" si="12"/>
        <v>236041.13805000001</v>
      </c>
    </row>
    <row r="263" spans="1:10">
      <c r="A263" s="142"/>
      <c r="B263" s="101"/>
      <c r="C263" s="17"/>
      <c r="D263" s="125"/>
      <c r="E263" s="373"/>
      <c r="F263" s="368">
        <f t="shared" si="11"/>
        <v>0</v>
      </c>
      <c r="G263" s="400"/>
      <c r="H263" s="407">
        <f t="shared" ref="H263:H326" si="13">G263*D263</f>
        <v>0</v>
      </c>
      <c r="I263" s="400"/>
      <c r="J263" s="400">
        <f t="shared" si="12"/>
        <v>0</v>
      </c>
    </row>
    <row r="264" spans="1:10" s="86" customFormat="1">
      <c r="A264" s="142"/>
      <c r="B264" s="57" t="s">
        <v>2</v>
      </c>
      <c r="C264" s="42"/>
      <c r="D264" s="113"/>
      <c r="E264" s="368"/>
      <c r="F264" s="368">
        <f t="shared" ref="F264:F327" si="14">D264*E264</f>
        <v>0</v>
      </c>
      <c r="G264" s="409"/>
      <c r="H264" s="407">
        <f t="shared" si="13"/>
        <v>0</v>
      </c>
      <c r="I264" s="409"/>
      <c r="J264" s="400">
        <f t="shared" si="12"/>
        <v>0</v>
      </c>
    </row>
    <row r="265" spans="1:10">
      <c r="A265" s="175"/>
      <c r="B265" s="46" t="s">
        <v>56</v>
      </c>
      <c r="C265" s="42" t="s">
        <v>57</v>
      </c>
      <c r="D265" s="113">
        <f>D262*0.07*3</f>
        <v>7.0812000000000008</v>
      </c>
      <c r="E265" s="368">
        <v>9179.2351578828439</v>
      </c>
      <c r="F265" s="368">
        <f t="shared" si="14"/>
        <v>65000</v>
      </c>
      <c r="G265" s="400">
        <v>7000</v>
      </c>
      <c r="H265" s="407">
        <f t="shared" si="13"/>
        <v>49568.400000000009</v>
      </c>
      <c r="I265" s="400">
        <v>4500</v>
      </c>
      <c r="J265" s="400">
        <f t="shared" si="12"/>
        <v>31865.400000000005</v>
      </c>
    </row>
    <row r="266" spans="1:10">
      <c r="A266" s="170"/>
      <c r="B266" s="46" t="str">
        <f>'[1]Emulsion Paint'!$B$19</f>
        <v>Induit/undercoat ( 2 coats)</v>
      </c>
      <c r="C266" s="42" t="s">
        <v>57</v>
      </c>
      <c r="D266" s="113">
        <f>D262*0.07*2</f>
        <v>4.7208000000000006</v>
      </c>
      <c r="E266" s="368">
        <v>24360.277918996777</v>
      </c>
      <c r="F266" s="368">
        <f t="shared" si="14"/>
        <v>115000</v>
      </c>
      <c r="G266" s="400">
        <v>1500</v>
      </c>
      <c r="H266" s="407">
        <f t="shared" si="13"/>
        <v>7081.2000000000007</v>
      </c>
      <c r="I266" s="400">
        <v>1100</v>
      </c>
      <c r="J266" s="400">
        <f t="shared" si="12"/>
        <v>5192.880000000001</v>
      </c>
    </row>
    <row r="267" spans="1:10">
      <c r="A267" s="170"/>
      <c r="B267" s="46" t="str">
        <f>'[1]Emulsion Paint'!$B$24</f>
        <v>Roller</v>
      </c>
      <c r="C267" s="42" t="s">
        <v>44</v>
      </c>
      <c r="D267" s="113">
        <f>D262/100</f>
        <v>0.3372</v>
      </c>
      <c r="E267" s="368">
        <v>1100</v>
      </c>
      <c r="F267" s="368">
        <f t="shared" si="14"/>
        <v>370.92</v>
      </c>
      <c r="G267" s="400">
        <v>1200</v>
      </c>
      <c r="H267" s="407">
        <f t="shared" si="13"/>
        <v>404.64</v>
      </c>
      <c r="I267" s="400">
        <v>2200</v>
      </c>
      <c r="J267" s="400">
        <f t="shared" si="12"/>
        <v>741.84</v>
      </c>
    </row>
    <row r="268" spans="1:10">
      <c r="A268" s="170"/>
      <c r="B268" s="46" t="str">
        <f>'[1]Emulsion Paint'!$B$23</f>
        <v>Brush</v>
      </c>
      <c r="C268" s="42" t="s">
        <v>44</v>
      </c>
      <c r="D268" s="113">
        <f>D262/100</f>
        <v>0.3372</v>
      </c>
      <c r="E268" s="368">
        <v>1100</v>
      </c>
      <c r="F268" s="368">
        <f t="shared" si="14"/>
        <v>370.92</v>
      </c>
      <c r="G268" s="400">
        <v>1200</v>
      </c>
      <c r="H268" s="407">
        <f t="shared" si="13"/>
        <v>404.64</v>
      </c>
      <c r="I268" s="400">
        <v>600</v>
      </c>
      <c r="J268" s="400">
        <f t="shared" si="12"/>
        <v>202.32</v>
      </c>
    </row>
    <row r="269" spans="1:10">
      <c r="A269" s="170"/>
      <c r="B269" s="46" t="s">
        <v>58</v>
      </c>
      <c r="C269" s="42" t="s">
        <v>59</v>
      </c>
      <c r="D269" s="113">
        <f>D262/100</f>
        <v>0.3372</v>
      </c>
      <c r="E269" s="368">
        <v>3500</v>
      </c>
      <c r="F269" s="368">
        <f t="shared" si="14"/>
        <v>1180.2</v>
      </c>
      <c r="G269" s="400">
        <v>2000</v>
      </c>
      <c r="H269" s="407">
        <f t="shared" si="13"/>
        <v>674.4</v>
      </c>
      <c r="I269" s="400">
        <v>3500</v>
      </c>
      <c r="J269" s="400">
        <f t="shared" si="12"/>
        <v>1180.2</v>
      </c>
    </row>
    <row r="270" spans="1:10">
      <c r="A270" s="170"/>
      <c r="B270" s="46" t="s">
        <v>60</v>
      </c>
      <c r="C270" s="42" t="s">
        <v>44</v>
      </c>
      <c r="D270" s="113">
        <f>D262/50</f>
        <v>0.6744</v>
      </c>
      <c r="E270" s="368">
        <v>3500</v>
      </c>
      <c r="F270" s="368">
        <f t="shared" si="14"/>
        <v>2360.4</v>
      </c>
      <c r="G270" s="400">
        <v>2000</v>
      </c>
      <c r="H270" s="407">
        <f t="shared" si="13"/>
        <v>1348.8</v>
      </c>
      <c r="I270" s="400">
        <v>1500</v>
      </c>
      <c r="J270" s="400">
        <f t="shared" si="12"/>
        <v>1011.6</v>
      </c>
    </row>
    <row r="271" spans="1:10" ht="18">
      <c r="A271" s="171"/>
      <c r="B271" s="57" t="s">
        <v>61</v>
      </c>
      <c r="C271" s="58"/>
      <c r="D271" s="116"/>
      <c r="E271" s="378"/>
      <c r="F271" s="368">
        <f t="shared" si="14"/>
        <v>0</v>
      </c>
      <c r="G271" s="400"/>
      <c r="H271" s="407">
        <f t="shared" si="13"/>
        <v>0</v>
      </c>
      <c r="I271" s="400"/>
      <c r="J271" s="400">
        <f t="shared" si="12"/>
        <v>0</v>
      </c>
    </row>
    <row r="272" spans="1:10">
      <c r="A272" s="170"/>
      <c r="B272" s="46"/>
      <c r="C272" s="42"/>
      <c r="D272" s="113"/>
      <c r="E272" s="368"/>
      <c r="F272" s="368">
        <f t="shared" si="14"/>
        <v>0</v>
      </c>
      <c r="G272" s="400"/>
      <c r="H272" s="407">
        <f t="shared" si="13"/>
        <v>0</v>
      </c>
      <c r="I272" s="400"/>
      <c r="J272" s="400">
        <f t="shared" si="12"/>
        <v>0</v>
      </c>
    </row>
    <row r="273" spans="1:10">
      <c r="A273" s="170"/>
      <c r="B273" s="57" t="s">
        <v>6</v>
      </c>
      <c r="C273" s="42"/>
      <c r="D273" s="113"/>
      <c r="E273" s="368"/>
      <c r="F273" s="368">
        <f t="shared" si="14"/>
        <v>0</v>
      </c>
      <c r="G273" s="400"/>
      <c r="H273" s="407">
        <f t="shared" si="13"/>
        <v>0</v>
      </c>
      <c r="I273" s="400"/>
      <c r="J273" s="400">
        <f t="shared" si="12"/>
        <v>0</v>
      </c>
    </row>
    <row r="274" spans="1:10">
      <c r="A274" s="170"/>
      <c r="B274" s="46" t="s">
        <v>7</v>
      </c>
      <c r="C274" s="42" t="s">
        <v>62</v>
      </c>
      <c r="D274" s="113">
        <f>D275</f>
        <v>2.48685</v>
      </c>
      <c r="E274" s="368">
        <v>5500</v>
      </c>
      <c r="F274" s="368">
        <f t="shared" si="14"/>
        <v>13677.674999999999</v>
      </c>
      <c r="G274" s="400">
        <v>5000</v>
      </c>
      <c r="H274" s="407">
        <f t="shared" si="13"/>
        <v>12434.25</v>
      </c>
      <c r="I274" s="400">
        <v>19113</v>
      </c>
      <c r="J274" s="400">
        <f t="shared" si="12"/>
        <v>47531.164049999999</v>
      </c>
    </row>
    <row r="275" spans="1:10">
      <c r="A275" s="170"/>
      <c r="B275" s="46" t="s">
        <v>63</v>
      </c>
      <c r="C275" s="42" t="s">
        <v>62</v>
      </c>
      <c r="D275" s="113">
        <f>D262*(0.59/8)</f>
        <v>2.48685</v>
      </c>
      <c r="E275" s="368">
        <v>6500</v>
      </c>
      <c r="F275" s="368">
        <f t="shared" si="14"/>
        <v>16164.525</v>
      </c>
      <c r="G275" s="400">
        <v>12000</v>
      </c>
      <c r="H275" s="407">
        <f t="shared" si="13"/>
        <v>29842.2</v>
      </c>
      <c r="I275" s="400">
        <v>59640</v>
      </c>
      <c r="J275" s="400">
        <f t="shared" si="12"/>
        <v>148315.734</v>
      </c>
    </row>
    <row r="276" spans="1:10" ht="18">
      <c r="A276" s="152"/>
      <c r="B276" s="93" t="s">
        <v>9</v>
      </c>
      <c r="C276" s="27"/>
      <c r="D276" s="116"/>
      <c r="E276" s="381"/>
      <c r="F276" s="368">
        <f t="shared" si="14"/>
        <v>0</v>
      </c>
      <c r="G276" s="400"/>
      <c r="H276" s="407">
        <f t="shared" si="13"/>
        <v>0</v>
      </c>
      <c r="I276" s="400"/>
      <c r="J276" s="400">
        <f t="shared" si="12"/>
        <v>0</v>
      </c>
    </row>
    <row r="277" spans="1:10">
      <c r="A277" s="176"/>
      <c r="B277" s="102"/>
      <c r="C277" s="45"/>
      <c r="D277" s="113"/>
      <c r="E277" s="383"/>
      <c r="F277" s="368">
        <f t="shared" si="14"/>
        <v>0</v>
      </c>
      <c r="G277" s="400"/>
      <c r="H277" s="407">
        <f t="shared" si="13"/>
        <v>0</v>
      </c>
      <c r="I277" s="400"/>
      <c r="J277" s="400">
        <f t="shared" si="12"/>
        <v>0</v>
      </c>
    </row>
    <row r="278" spans="1:10" ht="19.5">
      <c r="A278" s="153">
        <v>15</v>
      </c>
      <c r="B278" s="475" t="s">
        <v>117</v>
      </c>
      <c r="C278" s="475"/>
      <c r="D278" s="475"/>
      <c r="E278" s="376"/>
      <c r="F278" s="368">
        <f t="shared" si="14"/>
        <v>0</v>
      </c>
      <c r="G278" s="400"/>
      <c r="H278" s="407">
        <f t="shared" si="13"/>
        <v>0</v>
      </c>
      <c r="I278" s="400"/>
      <c r="J278" s="400">
        <f t="shared" si="12"/>
        <v>0</v>
      </c>
    </row>
    <row r="279" spans="1:10" ht="19.5">
      <c r="A279" s="154">
        <v>15.01</v>
      </c>
      <c r="B279" s="15" t="s">
        <v>64</v>
      </c>
      <c r="C279" s="34" t="s">
        <v>50</v>
      </c>
      <c r="D279" s="120">
        <f>((13.5*3)+((2.5+2+2.5)*3))-(3.78+3)</f>
        <v>54.72</v>
      </c>
      <c r="E279" s="367">
        <v>3649.7107666666675</v>
      </c>
      <c r="F279" s="367">
        <f t="shared" si="14"/>
        <v>199712.17315200003</v>
      </c>
      <c r="G279" s="403"/>
      <c r="H279" s="408">
        <f t="shared" si="13"/>
        <v>0</v>
      </c>
      <c r="I279" s="403">
        <v>5999.9013333333332</v>
      </c>
      <c r="J279" s="403">
        <f t="shared" si="12"/>
        <v>328314.60096000001</v>
      </c>
    </row>
    <row r="280" spans="1:10">
      <c r="A280" s="151"/>
      <c r="B280" s="57" t="s">
        <v>51</v>
      </c>
      <c r="C280" s="42"/>
      <c r="D280" s="113"/>
      <c r="E280" s="368"/>
      <c r="F280" s="368">
        <f t="shared" si="14"/>
        <v>0</v>
      </c>
      <c r="G280" s="400"/>
      <c r="H280" s="407">
        <f t="shared" si="13"/>
        <v>0</v>
      </c>
      <c r="I280" s="400"/>
      <c r="J280" s="400">
        <f t="shared" si="12"/>
        <v>0</v>
      </c>
    </row>
    <row r="281" spans="1:10" s="86" customFormat="1" ht="31.7" customHeight="1">
      <c r="A281" s="150"/>
      <c r="B281" s="46" t="s">
        <v>52</v>
      </c>
      <c r="C281" s="42" t="s">
        <v>12</v>
      </c>
      <c r="D281" s="113">
        <f>D279*0.01*(1/4)*1.54*(1440/50)+(D279*0.003*(1/6)*1.57*(1440/50))</f>
        <v>7.3044633600000006</v>
      </c>
      <c r="E281" s="368">
        <v>11200</v>
      </c>
      <c r="F281" s="368">
        <f t="shared" si="14"/>
        <v>81809.989632000012</v>
      </c>
      <c r="G281" s="409">
        <v>14000</v>
      </c>
      <c r="H281" s="407">
        <f t="shared" si="13"/>
        <v>102262.48704000001</v>
      </c>
      <c r="I281" s="409">
        <v>11000</v>
      </c>
      <c r="J281" s="400">
        <f t="shared" si="12"/>
        <v>80349.09696000001</v>
      </c>
    </row>
    <row r="282" spans="1:10">
      <c r="A282" s="170"/>
      <c r="B282" s="46" t="s">
        <v>13</v>
      </c>
      <c r="C282" s="42" t="s">
        <v>28</v>
      </c>
      <c r="D282" s="113">
        <f>D279*0.01*1.5*1.54*(3/4)</f>
        <v>0.94802399999999998</v>
      </c>
      <c r="E282" s="368">
        <v>36500</v>
      </c>
      <c r="F282" s="368">
        <f t="shared" si="14"/>
        <v>34602.875999999997</v>
      </c>
      <c r="G282" s="400">
        <v>5000</v>
      </c>
      <c r="H282" s="407">
        <f t="shared" si="13"/>
        <v>4740.12</v>
      </c>
      <c r="I282" s="400">
        <v>40000</v>
      </c>
      <c r="J282" s="400">
        <f t="shared" si="12"/>
        <v>37920.959999999999</v>
      </c>
    </row>
    <row r="283" spans="1:10">
      <c r="A283" s="170"/>
      <c r="B283" s="46" t="s">
        <v>65</v>
      </c>
      <c r="C283" s="42" t="s">
        <v>31</v>
      </c>
      <c r="D283" s="113">
        <f>D279*0.003*(5/6)*1.57*(1440/50)</f>
        <v>6.1855488000000012</v>
      </c>
      <c r="E283" s="368">
        <v>10400</v>
      </c>
      <c r="F283" s="368">
        <f t="shared" si="14"/>
        <v>64329.707520000011</v>
      </c>
      <c r="G283" s="400">
        <v>15000</v>
      </c>
      <c r="H283" s="407">
        <f t="shared" si="13"/>
        <v>92783.232000000018</v>
      </c>
      <c r="I283" s="400">
        <v>10000</v>
      </c>
      <c r="J283" s="400">
        <f t="shared" si="12"/>
        <v>61855.488000000012</v>
      </c>
    </row>
    <row r="284" spans="1:10" ht="18">
      <c r="A284" s="171"/>
      <c r="B284" s="57" t="s">
        <v>5</v>
      </c>
      <c r="C284" s="58"/>
      <c r="D284" s="116"/>
      <c r="E284" s="378"/>
      <c r="F284" s="368">
        <f t="shared" si="14"/>
        <v>0</v>
      </c>
      <c r="G284" s="400"/>
      <c r="H284" s="407">
        <f t="shared" si="13"/>
        <v>0</v>
      </c>
      <c r="I284" s="400"/>
      <c r="J284" s="400">
        <f t="shared" si="12"/>
        <v>0</v>
      </c>
    </row>
    <row r="285" spans="1:10">
      <c r="A285" s="170"/>
      <c r="B285" s="46"/>
      <c r="C285" s="42"/>
      <c r="D285" s="113"/>
      <c r="E285" s="368"/>
      <c r="F285" s="368">
        <f t="shared" si="14"/>
        <v>0</v>
      </c>
      <c r="G285" s="400"/>
      <c r="H285" s="407">
        <f t="shared" si="13"/>
        <v>0</v>
      </c>
      <c r="I285" s="400"/>
      <c r="J285" s="400">
        <f t="shared" si="12"/>
        <v>0</v>
      </c>
    </row>
    <row r="286" spans="1:10">
      <c r="A286" s="170"/>
      <c r="B286" s="57" t="s">
        <v>53</v>
      </c>
      <c r="C286" s="42"/>
      <c r="D286" s="113"/>
      <c r="E286" s="368"/>
      <c r="F286" s="368">
        <f t="shared" si="14"/>
        <v>0</v>
      </c>
      <c r="G286" s="400"/>
      <c r="H286" s="407">
        <f t="shared" si="13"/>
        <v>0</v>
      </c>
      <c r="I286" s="400"/>
      <c r="J286" s="400">
        <f t="shared" si="12"/>
        <v>0</v>
      </c>
    </row>
    <row r="287" spans="1:10">
      <c r="A287" s="170"/>
      <c r="B287" s="46" t="s">
        <v>34</v>
      </c>
      <c r="C287" s="42" t="s">
        <v>8</v>
      </c>
      <c r="D287" s="113">
        <f>D279/15</f>
        <v>3.6480000000000001</v>
      </c>
      <c r="E287" s="368">
        <v>1800</v>
      </c>
      <c r="F287" s="368">
        <f t="shared" si="14"/>
        <v>6566.4000000000005</v>
      </c>
      <c r="G287" s="400">
        <v>10000</v>
      </c>
      <c r="H287" s="407">
        <f t="shared" si="13"/>
        <v>36480</v>
      </c>
      <c r="I287" s="400">
        <v>27082</v>
      </c>
      <c r="J287" s="400">
        <f t="shared" si="12"/>
        <v>98795.135999999999</v>
      </c>
    </row>
    <row r="288" spans="1:10">
      <c r="A288" s="170"/>
      <c r="B288" s="46" t="s">
        <v>7</v>
      </c>
      <c r="C288" s="42" t="s">
        <v>8</v>
      </c>
      <c r="D288" s="113">
        <f>D287*4</f>
        <v>14.592000000000001</v>
      </c>
      <c r="E288" s="368">
        <v>850</v>
      </c>
      <c r="F288" s="368">
        <f t="shared" si="14"/>
        <v>12403.2</v>
      </c>
      <c r="G288" s="400">
        <v>5000</v>
      </c>
      <c r="H288" s="407">
        <f t="shared" si="13"/>
        <v>72960</v>
      </c>
      <c r="I288" s="400">
        <v>3385</v>
      </c>
      <c r="J288" s="400">
        <f t="shared" si="12"/>
        <v>49393.919999999998</v>
      </c>
    </row>
    <row r="289" spans="1:10" ht="18">
      <c r="A289" s="171"/>
      <c r="B289" s="93" t="s">
        <v>54</v>
      </c>
      <c r="C289" s="58"/>
      <c r="D289" s="116"/>
      <c r="E289" s="378"/>
      <c r="F289" s="368">
        <f t="shared" si="14"/>
        <v>0</v>
      </c>
      <c r="G289" s="400"/>
      <c r="H289" s="407">
        <f t="shared" si="13"/>
        <v>0</v>
      </c>
      <c r="I289" s="400"/>
      <c r="J289" s="400">
        <f t="shared" si="12"/>
        <v>0</v>
      </c>
    </row>
    <row r="290" spans="1:10">
      <c r="A290" s="151"/>
      <c r="B290" s="94"/>
      <c r="C290" s="22"/>
      <c r="D290" s="113"/>
      <c r="E290" s="374"/>
      <c r="F290" s="368">
        <f t="shared" si="14"/>
        <v>0</v>
      </c>
      <c r="G290" s="400"/>
      <c r="H290" s="407">
        <f t="shared" si="13"/>
        <v>0</v>
      </c>
      <c r="I290" s="400"/>
      <c r="J290" s="400">
        <f t="shared" si="12"/>
        <v>0</v>
      </c>
    </row>
    <row r="291" spans="1:10" ht="19.7" customHeight="1">
      <c r="A291" s="153">
        <v>16</v>
      </c>
      <c r="B291" s="475" t="s">
        <v>141</v>
      </c>
      <c r="C291" s="475"/>
      <c r="D291" s="475"/>
      <c r="E291" s="376"/>
      <c r="F291" s="368">
        <f t="shared" si="14"/>
        <v>0</v>
      </c>
      <c r="G291" s="400"/>
      <c r="H291" s="407">
        <f t="shared" si="13"/>
        <v>0</v>
      </c>
      <c r="I291" s="400"/>
      <c r="J291" s="400">
        <f t="shared" si="12"/>
        <v>0</v>
      </c>
    </row>
    <row r="292" spans="1:10" ht="19.5">
      <c r="A292" s="179">
        <v>16.010000000000002</v>
      </c>
      <c r="B292" s="15" t="s">
        <v>66</v>
      </c>
      <c r="C292" s="34" t="s">
        <v>1</v>
      </c>
      <c r="D292" s="120">
        <f>D279+D250</f>
        <v>88.44</v>
      </c>
      <c r="E292" s="367">
        <v>4555.5141121316501</v>
      </c>
      <c r="F292" s="367">
        <f t="shared" si="14"/>
        <v>402889.66807692312</v>
      </c>
      <c r="G292" s="403"/>
      <c r="H292" s="408">
        <f t="shared" si="13"/>
        <v>0</v>
      </c>
      <c r="I292" s="403">
        <v>6999.9961442307695</v>
      </c>
      <c r="J292" s="403">
        <f t="shared" si="12"/>
        <v>619079.65899576922</v>
      </c>
    </row>
    <row r="293" spans="1:10" ht="19.5">
      <c r="A293" s="184"/>
      <c r="B293" s="57" t="s">
        <v>2</v>
      </c>
      <c r="C293" s="42"/>
      <c r="D293" s="113"/>
      <c r="E293" s="368"/>
      <c r="F293" s="368">
        <f t="shared" si="14"/>
        <v>0</v>
      </c>
      <c r="G293" s="400"/>
      <c r="H293" s="407">
        <f t="shared" si="13"/>
        <v>0</v>
      </c>
      <c r="I293" s="400"/>
      <c r="J293" s="400">
        <f t="shared" si="12"/>
        <v>0</v>
      </c>
    </row>
    <row r="294" spans="1:10" ht="19.5">
      <c r="A294" s="184"/>
      <c r="B294" s="46" t="str">
        <f>'[1]Emulsion Paint'!$B$22</f>
        <v>Emulsion paint ( 3 coats)</v>
      </c>
      <c r="C294" s="42" t="s">
        <v>57</v>
      </c>
      <c r="D294" s="113">
        <f>D292*0.07*3</f>
        <v>18.572400000000002</v>
      </c>
      <c r="E294" s="368">
        <v>4038.2503069070231</v>
      </c>
      <c r="F294" s="368">
        <f t="shared" si="14"/>
        <v>75000</v>
      </c>
      <c r="G294" s="400">
        <v>1500</v>
      </c>
      <c r="H294" s="407">
        <f t="shared" si="13"/>
        <v>27858.600000000002</v>
      </c>
      <c r="I294" s="400">
        <v>4000</v>
      </c>
      <c r="J294" s="400">
        <f t="shared" si="12"/>
        <v>74289.600000000006</v>
      </c>
    </row>
    <row r="295" spans="1:10" ht="19.5">
      <c r="A295" s="253"/>
      <c r="B295" s="46" t="str">
        <f>'[1]Emulsion Paint'!$B$20</f>
        <v>Whiting/stucco ( 2 coats)</v>
      </c>
      <c r="C295" s="42" t="s">
        <v>67</v>
      </c>
      <c r="D295" s="113">
        <f>D292*((50*2)/65)*2</f>
        <v>272.12307692307695</v>
      </c>
      <c r="E295" s="368">
        <v>532.84712799638169</v>
      </c>
      <c r="F295" s="368">
        <f t="shared" si="14"/>
        <v>145000</v>
      </c>
      <c r="G295" s="400">
        <v>1500</v>
      </c>
      <c r="H295" s="407">
        <f t="shared" si="13"/>
        <v>408184.61538461543</v>
      </c>
      <c r="I295" s="400">
        <v>640</v>
      </c>
      <c r="J295" s="400">
        <f t="shared" si="12"/>
        <v>174158.76923076925</v>
      </c>
    </row>
    <row r="296" spans="1:10" ht="19.5">
      <c r="A296" s="218"/>
      <c r="B296" s="46" t="str">
        <f>'[1]Emulsion Paint'!$B$19</f>
        <v>Induit/undercoat ( 2 coats)</v>
      </c>
      <c r="C296" s="42" t="s">
        <v>57</v>
      </c>
      <c r="D296" s="113">
        <f>D292*0.07*2</f>
        <v>12.381600000000001</v>
      </c>
      <c r="E296" s="368">
        <v>1100</v>
      </c>
      <c r="F296" s="368">
        <f t="shared" si="14"/>
        <v>13619.76</v>
      </c>
      <c r="G296" s="400">
        <v>1500</v>
      </c>
      <c r="H296" s="407">
        <f t="shared" si="13"/>
        <v>18572.400000000001</v>
      </c>
      <c r="I296" s="400">
        <v>700</v>
      </c>
      <c r="J296" s="400">
        <f t="shared" si="12"/>
        <v>8667.1200000000008</v>
      </c>
    </row>
    <row r="297" spans="1:10" ht="19.5">
      <c r="A297" s="218"/>
      <c r="B297" s="46" t="s">
        <v>68</v>
      </c>
      <c r="C297" s="42" t="s">
        <v>57</v>
      </c>
      <c r="D297" s="113">
        <f>D292*((30/65)*2)</f>
        <v>81.636923076923082</v>
      </c>
      <c r="E297" s="368">
        <v>1100</v>
      </c>
      <c r="F297" s="368">
        <f t="shared" si="14"/>
        <v>89800.61538461539</v>
      </c>
      <c r="G297" s="400">
        <v>1500</v>
      </c>
      <c r="H297" s="407">
        <f t="shared" si="13"/>
        <v>122455.38461538462</v>
      </c>
      <c r="I297" s="400">
        <v>700</v>
      </c>
      <c r="J297" s="400">
        <f t="shared" si="12"/>
        <v>57145.846153846156</v>
      </c>
    </row>
    <row r="298" spans="1:10" ht="19.5">
      <c r="A298" s="218"/>
      <c r="B298" s="46" t="str">
        <f>'[1]Emulsion Paint'!$B$21</f>
        <v>Colle</v>
      </c>
      <c r="C298" s="42" t="s">
        <v>69</v>
      </c>
      <c r="D298" s="113">
        <f>D292*((1/65)*2)</f>
        <v>2.7212307692307691</v>
      </c>
      <c r="E298" s="368">
        <v>3500</v>
      </c>
      <c r="F298" s="368">
        <f t="shared" si="14"/>
        <v>9524.3076923076915</v>
      </c>
      <c r="G298" s="400">
        <v>15000</v>
      </c>
      <c r="H298" s="407">
        <f t="shared" si="13"/>
        <v>40818.461538461539</v>
      </c>
      <c r="I298" s="400">
        <v>18000</v>
      </c>
      <c r="J298" s="400">
        <f t="shared" si="12"/>
        <v>48982.153846153844</v>
      </c>
    </row>
    <row r="299" spans="1:10" ht="19.5">
      <c r="A299" s="218"/>
      <c r="B299" s="46" t="str">
        <f>'[1]Emulsion Paint'!$B$24</f>
        <v>Roller</v>
      </c>
      <c r="C299" s="42" t="s">
        <v>44</v>
      </c>
      <c r="D299" s="113">
        <f>D292/100</f>
        <v>0.88439999999999996</v>
      </c>
      <c r="E299" s="368">
        <v>3500</v>
      </c>
      <c r="F299" s="368">
        <f t="shared" si="14"/>
        <v>3095.4</v>
      </c>
      <c r="G299" s="400">
        <v>1200</v>
      </c>
      <c r="H299" s="407">
        <f t="shared" si="13"/>
        <v>1061.28</v>
      </c>
      <c r="I299" s="400">
        <v>2200</v>
      </c>
      <c r="J299" s="400">
        <f t="shared" si="12"/>
        <v>1945.6799999999998</v>
      </c>
    </row>
    <row r="300" spans="1:10" ht="19.5">
      <c r="A300" s="218"/>
      <c r="B300" s="46" t="str">
        <f>'[1]Emulsion Paint'!$B$23</f>
        <v>Brush</v>
      </c>
      <c r="C300" s="42" t="s">
        <v>44</v>
      </c>
      <c r="D300" s="113">
        <f>D292/100</f>
        <v>0.88439999999999996</v>
      </c>
      <c r="E300" s="368">
        <v>3500</v>
      </c>
      <c r="F300" s="368">
        <f t="shared" si="14"/>
        <v>3095.4</v>
      </c>
      <c r="G300" s="400">
        <v>1200</v>
      </c>
      <c r="H300" s="407">
        <f t="shared" si="13"/>
        <v>1061.28</v>
      </c>
      <c r="I300" s="400">
        <v>600</v>
      </c>
      <c r="J300" s="400">
        <f t="shared" si="12"/>
        <v>530.64</v>
      </c>
    </row>
    <row r="301" spans="1:10" ht="19.5">
      <c r="A301" s="218"/>
      <c r="B301" s="46" t="s">
        <v>58</v>
      </c>
      <c r="C301" s="42" t="s">
        <v>59</v>
      </c>
      <c r="D301" s="113">
        <f>D292/100</f>
        <v>0.88439999999999996</v>
      </c>
      <c r="E301" s="368">
        <v>3500</v>
      </c>
      <c r="F301" s="368">
        <f t="shared" si="14"/>
        <v>3095.4</v>
      </c>
      <c r="G301" s="400">
        <v>2000</v>
      </c>
      <c r="H301" s="407">
        <f t="shared" si="13"/>
        <v>1768.8</v>
      </c>
      <c r="I301" s="400">
        <v>3500</v>
      </c>
      <c r="J301" s="400">
        <f t="shared" si="12"/>
        <v>3095.4</v>
      </c>
    </row>
    <row r="302" spans="1:10" ht="19.5">
      <c r="A302" s="173"/>
      <c r="B302" s="57" t="s">
        <v>5</v>
      </c>
      <c r="C302" s="58"/>
      <c r="D302" s="116"/>
      <c r="E302" s="378"/>
      <c r="F302" s="368">
        <f t="shared" si="14"/>
        <v>0</v>
      </c>
      <c r="G302" s="400"/>
      <c r="H302" s="407">
        <f t="shared" si="13"/>
        <v>0</v>
      </c>
      <c r="I302" s="400"/>
      <c r="J302" s="400">
        <f t="shared" si="12"/>
        <v>0</v>
      </c>
    </row>
    <row r="303" spans="1:10" ht="19.5">
      <c r="A303" s="218"/>
      <c r="B303" s="46"/>
      <c r="C303" s="42"/>
      <c r="D303" s="113"/>
      <c r="E303" s="368"/>
      <c r="F303" s="368">
        <f t="shared" si="14"/>
        <v>0</v>
      </c>
      <c r="G303" s="400"/>
      <c r="H303" s="407">
        <f t="shared" si="13"/>
        <v>0</v>
      </c>
      <c r="I303" s="400"/>
      <c r="J303" s="400">
        <f t="shared" si="12"/>
        <v>0</v>
      </c>
    </row>
    <row r="304" spans="1:10" ht="19.5">
      <c r="A304" s="218"/>
      <c r="B304" s="57" t="s">
        <v>6</v>
      </c>
      <c r="C304" s="42"/>
      <c r="D304" s="113"/>
      <c r="E304" s="368"/>
      <c r="F304" s="368">
        <f t="shared" si="14"/>
        <v>0</v>
      </c>
      <c r="G304" s="400"/>
      <c r="H304" s="407">
        <f t="shared" si="13"/>
        <v>0</v>
      </c>
      <c r="I304" s="400"/>
      <c r="J304" s="400">
        <f t="shared" si="12"/>
        <v>0</v>
      </c>
    </row>
    <row r="305" spans="1:10" ht="19.5">
      <c r="A305" s="218"/>
      <c r="B305" s="46" t="s">
        <v>7</v>
      </c>
      <c r="C305" s="42" t="s">
        <v>62</v>
      </c>
      <c r="D305" s="113">
        <f>D306</f>
        <v>6.5224499999999992</v>
      </c>
      <c r="E305" s="368">
        <v>4500</v>
      </c>
      <c r="F305" s="368">
        <f t="shared" si="14"/>
        <v>29351.024999999998</v>
      </c>
      <c r="G305" s="400">
        <v>5000</v>
      </c>
      <c r="H305" s="407">
        <f t="shared" si="13"/>
        <v>32612.249999999996</v>
      </c>
      <c r="I305" s="400">
        <v>12869.7</v>
      </c>
      <c r="J305" s="400">
        <f t="shared" si="12"/>
        <v>83941.974764999992</v>
      </c>
    </row>
    <row r="306" spans="1:10" ht="19.5">
      <c r="A306" s="218"/>
      <c r="B306" s="46" t="s">
        <v>70</v>
      </c>
      <c r="C306" s="42" t="s">
        <v>62</v>
      </c>
      <c r="D306" s="113">
        <f>D292*(0.59/8)</f>
        <v>6.5224499999999992</v>
      </c>
      <c r="E306" s="368">
        <v>4800</v>
      </c>
      <c r="F306" s="368">
        <f t="shared" si="14"/>
        <v>31307.759999999995</v>
      </c>
      <c r="G306" s="400">
        <v>12000</v>
      </c>
      <c r="H306" s="407">
        <f t="shared" si="13"/>
        <v>78269.399999999994</v>
      </c>
      <c r="I306" s="400">
        <v>25500</v>
      </c>
      <c r="J306" s="400">
        <f t="shared" si="12"/>
        <v>166322.47499999998</v>
      </c>
    </row>
    <row r="307" spans="1:10" ht="19.5">
      <c r="A307" s="173"/>
      <c r="B307" s="57" t="s">
        <v>54</v>
      </c>
      <c r="C307" s="58"/>
      <c r="D307" s="116"/>
      <c r="E307" s="378"/>
      <c r="F307" s="368">
        <f t="shared" si="14"/>
        <v>0</v>
      </c>
      <c r="G307" s="400"/>
      <c r="H307" s="407">
        <f t="shared" si="13"/>
        <v>0</v>
      </c>
      <c r="I307" s="400"/>
      <c r="J307" s="400">
        <f t="shared" si="12"/>
        <v>0</v>
      </c>
    </row>
    <row r="308" spans="1:10" ht="19.5" customHeight="1">
      <c r="A308" s="173"/>
      <c r="B308" s="57"/>
      <c r="C308" s="58"/>
      <c r="D308" s="116"/>
      <c r="E308" s="378"/>
      <c r="F308" s="368">
        <f t="shared" si="14"/>
        <v>0</v>
      </c>
      <c r="G308" s="400"/>
      <c r="H308" s="407">
        <f t="shared" si="13"/>
        <v>0</v>
      </c>
      <c r="I308" s="400"/>
      <c r="J308" s="400">
        <f t="shared" si="12"/>
        <v>0</v>
      </c>
    </row>
    <row r="309" spans="1:10" ht="36.75" customHeight="1">
      <c r="A309" s="140">
        <v>17</v>
      </c>
      <c r="B309" s="471" t="s">
        <v>131</v>
      </c>
      <c r="C309" s="471"/>
      <c r="D309" s="471"/>
      <c r="E309" s="420"/>
      <c r="F309" s="368">
        <f t="shared" si="14"/>
        <v>0</v>
      </c>
      <c r="G309" s="400"/>
      <c r="H309" s="407">
        <f t="shared" si="13"/>
        <v>0</v>
      </c>
      <c r="I309" s="400"/>
      <c r="J309" s="400">
        <f t="shared" si="12"/>
        <v>0</v>
      </c>
    </row>
    <row r="310" spans="1:10" ht="19.5">
      <c r="A310" s="182">
        <v>17.010000000000002</v>
      </c>
      <c r="B310" s="2" t="s">
        <v>164</v>
      </c>
      <c r="C310" s="247" t="s">
        <v>129</v>
      </c>
      <c r="D310" s="251">
        <v>2</v>
      </c>
      <c r="E310" s="386">
        <v>78750</v>
      </c>
      <c r="F310" s="367">
        <f t="shared" si="14"/>
        <v>157500</v>
      </c>
      <c r="G310" s="403"/>
      <c r="H310" s="408">
        <f t="shared" si="13"/>
        <v>0</v>
      </c>
      <c r="I310" s="403">
        <v>180000</v>
      </c>
      <c r="J310" s="403">
        <f t="shared" si="12"/>
        <v>360000</v>
      </c>
    </row>
    <row r="311" spans="1:10" ht="19.5">
      <c r="A311" s="181"/>
      <c r="B311" s="7" t="s">
        <v>29</v>
      </c>
      <c r="C311" s="8"/>
      <c r="D311" s="113"/>
      <c r="E311" s="368"/>
      <c r="F311" s="368">
        <f t="shared" si="14"/>
        <v>0</v>
      </c>
      <c r="G311" s="400"/>
      <c r="H311" s="407">
        <f t="shared" si="13"/>
        <v>0</v>
      </c>
      <c r="I311" s="400"/>
      <c r="J311" s="400">
        <f t="shared" si="12"/>
        <v>0</v>
      </c>
    </row>
    <row r="312" spans="1:10" ht="19.5">
      <c r="A312" s="180"/>
      <c r="B312" s="46" t="s">
        <v>143</v>
      </c>
      <c r="C312" s="229" t="s">
        <v>129</v>
      </c>
      <c r="D312" s="252">
        <v>2</v>
      </c>
      <c r="E312" s="387">
        <v>52500</v>
      </c>
      <c r="F312" s="368">
        <f t="shared" si="14"/>
        <v>105000</v>
      </c>
      <c r="G312" s="400">
        <v>150000</v>
      </c>
      <c r="H312" s="407">
        <f t="shared" si="13"/>
        <v>300000</v>
      </c>
      <c r="I312" s="400">
        <v>165000</v>
      </c>
      <c r="J312" s="400">
        <f t="shared" si="12"/>
        <v>330000</v>
      </c>
    </row>
    <row r="313" spans="1:10" ht="19.5">
      <c r="A313" s="155"/>
      <c r="B313" s="7" t="s">
        <v>5</v>
      </c>
      <c r="C313" s="11"/>
      <c r="D313" s="116"/>
      <c r="E313" s="378"/>
      <c r="F313" s="368">
        <f t="shared" si="14"/>
        <v>0</v>
      </c>
      <c r="G313" s="400"/>
      <c r="H313" s="407">
        <f t="shared" si="13"/>
        <v>0</v>
      </c>
      <c r="I313" s="400"/>
      <c r="J313" s="400">
        <f t="shared" si="12"/>
        <v>0</v>
      </c>
    </row>
    <row r="314" spans="1:10" ht="19.5">
      <c r="A314" s="180"/>
      <c r="B314" s="12"/>
      <c r="C314" s="8"/>
      <c r="D314" s="113"/>
      <c r="E314" s="368"/>
      <c r="F314" s="368">
        <f t="shared" si="14"/>
        <v>0</v>
      </c>
      <c r="G314" s="400"/>
      <c r="H314" s="407">
        <f t="shared" si="13"/>
        <v>0</v>
      </c>
      <c r="I314" s="400"/>
      <c r="J314" s="400">
        <f t="shared" si="12"/>
        <v>0</v>
      </c>
    </row>
    <row r="315" spans="1:10" ht="19.5">
      <c r="A315" s="214"/>
      <c r="B315" s="7" t="s">
        <v>33</v>
      </c>
      <c r="C315" s="8"/>
      <c r="D315" s="113"/>
      <c r="E315" s="368"/>
      <c r="F315" s="368">
        <f t="shared" si="14"/>
        <v>0</v>
      </c>
      <c r="G315" s="400"/>
      <c r="H315" s="407">
        <f t="shared" si="13"/>
        <v>0</v>
      </c>
      <c r="I315" s="400"/>
      <c r="J315" s="400">
        <f t="shared" si="12"/>
        <v>0</v>
      </c>
    </row>
    <row r="316" spans="1:10" ht="19.5">
      <c r="A316" s="180"/>
      <c r="B316" s="254" t="s">
        <v>34</v>
      </c>
      <c r="C316" s="8" t="s">
        <v>21</v>
      </c>
      <c r="D316" s="113">
        <f>D312/2</f>
        <v>1</v>
      </c>
      <c r="E316" s="368">
        <v>13125</v>
      </c>
      <c r="F316" s="368">
        <f t="shared" si="14"/>
        <v>13125</v>
      </c>
      <c r="G316" s="400">
        <v>10000</v>
      </c>
      <c r="H316" s="407">
        <f t="shared" si="13"/>
        <v>10000</v>
      </c>
      <c r="I316" s="400">
        <v>24000</v>
      </c>
      <c r="J316" s="400">
        <f t="shared" si="12"/>
        <v>24000</v>
      </c>
    </row>
    <row r="317" spans="1:10" ht="19.5">
      <c r="A317" s="180"/>
      <c r="B317" s="12" t="s">
        <v>7</v>
      </c>
      <c r="C317" s="8" t="s">
        <v>21</v>
      </c>
      <c r="D317" s="113">
        <f>+D316*4</f>
        <v>4</v>
      </c>
      <c r="E317" s="368">
        <v>9843.75</v>
      </c>
      <c r="F317" s="368">
        <f t="shared" si="14"/>
        <v>39375</v>
      </c>
      <c r="G317" s="400">
        <v>5000</v>
      </c>
      <c r="H317" s="407">
        <f t="shared" si="13"/>
        <v>20000</v>
      </c>
      <c r="I317" s="400">
        <v>1500</v>
      </c>
      <c r="J317" s="400">
        <f t="shared" si="12"/>
        <v>6000</v>
      </c>
    </row>
    <row r="318" spans="1:10" ht="19.5">
      <c r="A318" s="155"/>
      <c r="B318" s="7" t="s">
        <v>39</v>
      </c>
      <c r="C318" s="11"/>
      <c r="D318" s="116"/>
      <c r="E318" s="378"/>
      <c r="F318" s="368">
        <f t="shared" si="14"/>
        <v>0</v>
      </c>
      <c r="G318" s="400"/>
      <c r="H318" s="407">
        <f t="shared" si="13"/>
        <v>0</v>
      </c>
      <c r="I318" s="400"/>
      <c r="J318" s="400">
        <f t="shared" si="12"/>
        <v>0</v>
      </c>
    </row>
    <row r="319" spans="1:10" ht="15.75">
      <c r="A319" s="255"/>
      <c r="B319" s="46"/>
      <c r="C319" s="256"/>
      <c r="D319" s="257"/>
      <c r="E319" s="421"/>
      <c r="F319" s="368">
        <f t="shared" si="14"/>
        <v>0</v>
      </c>
      <c r="G319" s="400"/>
      <c r="H319" s="407">
        <f t="shared" si="13"/>
        <v>0</v>
      </c>
      <c r="I319" s="400"/>
      <c r="J319" s="400">
        <f t="shared" si="12"/>
        <v>0</v>
      </c>
    </row>
    <row r="320" spans="1:10" ht="36.75" customHeight="1">
      <c r="A320" s="140">
        <v>18</v>
      </c>
      <c r="B320" s="471" t="s">
        <v>132</v>
      </c>
      <c r="C320" s="471"/>
      <c r="D320" s="471"/>
      <c r="E320" s="420"/>
      <c r="F320" s="368">
        <f t="shared" si="14"/>
        <v>0</v>
      </c>
      <c r="G320" s="400"/>
      <c r="H320" s="407">
        <f t="shared" si="13"/>
        <v>0</v>
      </c>
      <c r="I320" s="400"/>
      <c r="J320" s="400">
        <f t="shared" si="12"/>
        <v>0</v>
      </c>
    </row>
    <row r="321" spans="1:10" ht="19.5">
      <c r="A321" s="182">
        <v>18.010000000000002</v>
      </c>
      <c r="B321" s="2" t="s">
        <v>167</v>
      </c>
      <c r="C321" s="247" t="s">
        <v>129</v>
      </c>
      <c r="D321" s="251">
        <v>1</v>
      </c>
      <c r="E321" s="424">
        <v>270270.00000000006</v>
      </c>
      <c r="F321" s="367">
        <f t="shared" si="14"/>
        <v>270270.00000000006</v>
      </c>
      <c r="G321" s="403"/>
      <c r="H321" s="408">
        <f t="shared" si="13"/>
        <v>0</v>
      </c>
      <c r="I321" s="403">
        <v>445800</v>
      </c>
      <c r="J321" s="403">
        <f t="shared" si="12"/>
        <v>445800</v>
      </c>
    </row>
    <row r="322" spans="1:10" ht="19.5">
      <c r="A322" s="181"/>
      <c r="B322" s="7" t="s">
        <v>29</v>
      </c>
      <c r="C322" s="8"/>
      <c r="D322" s="113"/>
      <c r="E322" s="368"/>
      <c r="F322" s="368">
        <f t="shared" si="14"/>
        <v>0</v>
      </c>
      <c r="G322" s="400"/>
      <c r="H322" s="407">
        <f t="shared" si="13"/>
        <v>0</v>
      </c>
      <c r="I322" s="400"/>
      <c r="J322" s="400">
        <f t="shared" si="12"/>
        <v>0</v>
      </c>
    </row>
    <row r="323" spans="1:10" ht="19.5">
      <c r="A323" s="180"/>
      <c r="B323" s="46" t="s">
        <v>163</v>
      </c>
      <c r="C323" s="229" t="s">
        <v>129</v>
      </c>
      <c r="D323" s="244">
        <v>2</v>
      </c>
      <c r="E323" s="422">
        <v>122850.00000000001</v>
      </c>
      <c r="F323" s="368">
        <f t="shared" si="14"/>
        <v>245700.00000000003</v>
      </c>
      <c r="G323" s="400">
        <v>15000</v>
      </c>
      <c r="H323" s="407">
        <f t="shared" si="13"/>
        <v>30000</v>
      </c>
      <c r="I323" s="400">
        <v>207900</v>
      </c>
      <c r="J323" s="400">
        <f t="shared" si="12"/>
        <v>415800</v>
      </c>
    </row>
    <row r="324" spans="1:10" ht="19.5">
      <c r="A324" s="180"/>
      <c r="B324" s="7" t="s">
        <v>5</v>
      </c>
      <c r="C324" s="11"/>
      <c r="D324" s="116"/>
      <c r="E324" s="378"/>
      <c r="F324" s="368">
        <f t="shared" si="14"/>
        <v>0</v>
      </c>
      <c r="G324" s="400"/>
      <c r="H324" s="407">
        <f t="shared" si="13"/>
        <v>0</v>
      </c>
      <c r="I324" s="400"/>
      <c r="J324" s="400">
        <f t="shared" si="12"/>
        <v>0</v>
      </c>
    </row>
    <row r="325" spans="1:10" ht="19.5">
      <c r="A325" s="214"/>
      <c r="B325" s="12"/>
      <c r="C325" s="8"/>
      <c r="D325" s="113"/>
      <c r="E325" s="368"/>
      <c r="F325" s="368">
        <f t="shared" si="14"/>
        <v>0</v>
      </c>
      <c r="G325" s="400"/>
      <c r="H325" s="407">
        <f t="shared" si="13"/>
        <v>0</v>
      </c>
      <c r="I325" s="400"/>
      <c r="J325" s="400">
        <f t="shared" ref="J325:J328" si="15">D325*I325</f>
        <v>0</v>
      </c>
    </row>
    <row r="326" spans="1:10" ht="19.5">
      <c r="A326" s="180"/>
      <c r="B326" s="7" t="s">
        <v>33</v>
      </c>
      <c r="C326" s="8"/>
      <c r="D326" s="113"/>
      <c r="E326" s="368"/>
      <c r="F326" s="368">
        <f t="shared" si="14"/>
        <v>0</v>
      </c>
      <c r="G326" s="400"/>
      <c r="H326" s="407">
        <f t="shared" si="13"/>
        <v>0</v>
      </c>
      <c r="I326" s="400"/>
      <c r="J326" s="400">
        <f t="shared" si="15"/>
        <v>0</v>
      </c>
    </row>
    <row r="327" spans="1:10" ht="19.5">
      <c r="A327" s="180"/>
      <c r="B327" s="12" t="s">
        <v>34</v>
      </c>
      <c r="C327" s="8" t="s">
        <v>21</v>
      </c>
      <c r="D327" s="113">
        <f>D321/2</f>
        <v>0.5</v>
      </c>
      <c r="E327" s="368">
        <v>12285.000000000002</v>
      </c>
      <c r="F327" s="368">
        <f t="shared" si="14"/>
        <v>6142.5000000000009</v>
      </c>
      <c r="G327" s="400">
        <v>10000</v>
      </c>
      <c r="H327" s="407">
        <f t="shared" ref="H327:H328" si="16">G327*D327</f>
        <v>5000</v>
      </c>
      <c r="I327" s="400">
        <v>48000</v>
      </c>
      <c r="J327" s="400">
        <f t="shared" si="15"/>
        <v>24000</v>
      </c>
    </row>
    <row r="328" spans="1:10" ht="19.5">
      <c r="A328" s="155"/>
      <c r="B328" s="12" t="s">
        <v>7</v>
      </c>
      <c r="C328" s="8" t="s">
        <v>21</v>
      </c>
      <c r="D328" s="113">
        <f>+D327*4</f>
        <v>2</v>
      </c>
      <c r="E328" s="368">
        <v>9213.7500000000018</v>
      </c>
      <c r="F328" s="368">
        <f t="shared" ref="F328" si="17">D328*E328</f>
        <v>18427.500000000004</v>
      </c>
      <c r="G328" s="400">
        <v>5000</v>
      </c>
      <c r="H328" s="407">
        <f t="shared" si="16"/>
        <v>10000</v>
      </c>
      <c r="I328" s="400">
        <v>3000</v>
      </c>
      <c r="J328" s="400">
        <f t="shared" si="15"/>
        <v>6000</v>
      </c>
    </row>
    <row r="329" spans="1:10">
      <c r="A329" s="258"/>
      <c r="B329" s="259" t="s">
        <v>39</v>
      </c>
      <c r="C329" s="223"/>
      <c r="D329" s="177"/>
      <c r="E329" s="378"/>
      <c r="F329" s="378"/>
      <c r="G329" s="400"/>
      <c r="H329" s="400"/>
      <c r="I329" s="400"/>
      <c r="J329" s="400"/>
    </row>
    <row r="330" spans="1:10" s="280" customFormat="1" ht="37.5">
      <c r="A330" s="279"/>
      <c r="B330" s="472" t="s">
        <v>177</v>
      </c>
      <c r="C330" s="472"/>
      <c r="D330" s="472"/>
      <c r="E330" s="438"/>
      <c r="F330" s="438">
        <f>F5+F9+F16+F24+F32+F42+F60+F80+F91+F102+F114+F127+F138+F149+F162+F174+F185+F199+F219+F238+F250+F262+F279+F292+F310+F321</f>
        <v>5413231.6281197732</v>
      </c>
      <c r="G330" s="413"/>
      <c r="H330" s="413">
        <f>SUM(H7:H329)</f>
        <v>5722780.0243319254</v>
      </c>
      <c r="I330" s="413"/>
      <c r="J330" s="413">
        <f>J5+J9+J16+J24+J32+J42+J60+J80+J91+J102+J114+J127+J138+J149+J162+J174+J185+J199+J219+J238+J250+J262+J279+J292+J310+J321</f>
        <v>6166825.7032001615</v>
      </c>
    </row>
  </sheetData>
  <mergeCells count="18">
    <mergeCell ref="B330:D330"/>
    <mergeCell ref="B79:D79"/>
    <mergeCell ref="B4:D4"/>
    <mergeCell ref="B126:D126"/>
    <mergeCell ref="B291:D291"/>
    <mergeCell ref="B309:D309"/>
    <mergeCell ref="B320:D320"/>
    <mergeCell ref="B249:D249"/>
    <mergeCell ref="B15:D15"/>
    <mergeCell ref="B41:D41"/>
    <mergeCell ref="B161:D161"/>
    <mergeCell ref="B184:D184"/>
    <mergeCell ref="B198:D198"/>
    <mergeCell ref="B218:D218"/>
    <mergeCell ref="B278:D278"/>
    <mergeCell ref="G2:H2"/>
    <mergeCell ref="I2:J2"/>
    <mergeCell ref="E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128"/>
  <sheetViews>
    <sheetView topLeftCell="A111" workbookViewId="0">
      <selection activeCell="F112" sqref="F112"/>
    </sheetView>
  </sheetViews>
  <sheetFormatPr defaultColWidth="8.85546875" defaultRowHeight="15"/>
  <cols>
    <col min="1" max="1" width="8.85546875" style="284"/>
    <col min="2" max="2" width="56.42578125" style="189" customWidth="1"/>
    <col min="3" max="3" width="10.85546875" style="66" customWidth="1"/>
    <col min="4" max="4" width="12.140625" style="134" customWidth="1"/>
    <col min="5" max="5" width="15.85546875" style="278" customWidth="1"/>
    <col min="6" max="6" width="18.42578125" style="278" customWidth="1"/>
    <col min="7" max="7" width="12" customWidth="1"/>
    <col min="8" max="8" width="12.5703125" bestFit="1" customWidth="1"/>
    <col min="9" max="9" width="13.140625" bestFit="1" customWidth="1"/>
    <col min="10" max="10" width="13.7109375" bestFit="1" customWidth="1"/>
  </cols>
  <sheetData>
    <row r="2" spans="1:10" ht="21">
      <c r="E2" s="469" t="s">
        <v>225</v>
      </c>
      <c r="F2" s="470"/>
      <c r="G2" s="477" t="s">
        <v>229</v>
      </c>
      <c r="H2" s="477"/>
      <c r="I2" s="477" t="s">
        <v>228</v>
      </c>
      <c r="J2" s="477"/>
    </row>
    <row r="3" spans="1:10" s="206" customFormat="1" ht="30.75" customHeight="1">
      <c r="A3" s="323"/>
      <c r="B3" s="139" t="s">
        <v>120</v>
      </c>
      <c r="C3" s="139" t="s">
        <v>121</v>
      </c>
      <c r="D3" s="265" t="s">
        <v>122</v>
      </c>
      <c r="E3" s="447" t="s">
        <v>227</v>
      </c>
      <c r="F3" s="447" t="s">
        <v>226</v>
      </c>
      <c r="G3" s="448" t="s">
        <v>227</v>
      </c>
      <c r="H3" s="449" t="s">
        <v>226</v>
      </c>
      <c r="I3" s="448" t="s">
        <v>227</v>
      </c>
      <c r="J3" s="449" t="s">
        <v>226</v>
      </c>
    </row>
    <row r="4" spans="1:10" s="78" customFormat="1" ht="19.5">
      <c r="A4" s="335">
        <v>1</v>
      </c>
      <c r="B4" s="482" t="s">
        <v>176</v>
      </c>
      <c r="C4" s="483"/>
      <c r="D4" s="483"/>
      <c r="E4" s="391"/>
      <c r="F4" s="391"/>
    </row>
    <row r="5" spans="1:10" s="78" customFormat="1" ht="22.5">
      <c r="A5" s="339"/>
      <c r="B5" s="488" t="s">
        <v>161</v>
      </c>
      <c r="C5" s="488"/>
      <c r="D5" s="488"/>
      <c r="E5" s="206"/>
      <c r="F5" s="206"/>
    </row>
    <row r="6" spans="1:10" s="240" customFormat="1" ht="19.5" customHeight="1">
      <c r="A6" s="340">
        <v>1.01</v>
      </c>
      <c r="B6" s="15" t="s">
        <v>140</v>
      </c>
      <c r="C6" s="3" t="s">
        <v>50</v>
      </c>
      <c r="D6" s="112">
        <f>((3.2*22)*2)+(25.175)</f>
        <v>165.97500000000002</v>
      </c>
      <c r="E6" s="371">
        <v>7826.3333333333339</v>
      </c>
      <c r="F6" s="371">
        <f>D6*E6</f>
        <v>1298975.6750000003</v>
      </c>
      <c r="G6" s="415"/>
      <c r="H6" s="367">
        <f>SUBTOTAL(9,H7:H14)</f>
        <v>1971506.3750000002</v>
      </c>
      <c r="I6" s="415">
        <v>11261.666666666666</v>
      </c>
      <c r="J6" s="415">
        <f t="shared" ref="J6:J37" si="0">D6*I6</f>
        <v>1869155.1250000002</v>
      </c>
    </row>
    <row r="7" spans="1:10" ht="19.5" customHeight="1">
      <c r="A7" s="341"/>
      <c r="B7" s="238" t="s">
        <v>134</v>
      </c>
      <c r="C7" s="236"/>
      <c r="D7" s="113"/>
      <c r="E7" s="392"/>
      <c r="F7" s="392"/>
      <c r="G7" s="400"/>
      <c r="H7" s="400"/>
      <c r="I7" s="400"/>
      <c r="J7" s="429">
        <f t="shared" si="0"/>
        <v>0</v>
      </c>
    </row>
    <row r="8" spans="1:10" ht="19.5" customHeight="1">
      <c r="A8" s="341"/>
      <c r="B8" s="235" t="s">
        <v>142</v>
      </c>
      <c r="C8" s="236" t="s">
        <v>1</v>
      </c>
      <c r="D8" s="273">
        <f>D6*1.03</f>
        <v>170.95425000000003</v>
      </c>
      <c r="E8" s="392">
        <v>6100</v>
      </c>
      <c r="F8" s="392">
        <f>D8*E8</f>
        <v>1042820.9250000002</v>
      </c>
      <c r="G8" s="400">
        <v>9000</v>
      </c>
      <c r="H8" s="400">
        <f t="shared" ref="H8:H39" si="1">D8*G8</f>
        <v>1538588.2500000002</v>
      </c>
      <c r="I8" s="400">
        <v>9000</v>
      </c>
      <c r="J8" s="429">
        <f t="shared" si="0"/>
        <v>1538588.2500000002</v>
      </c>
    </row>
    <row r="9" spans="1:10" ht="19.5" customHeight="1">
      <c r="A9" s="341"/>
      <c r="B9" s="235" t="s">
        <v>135</v>
      </c>
      <c r="C9" s="236" t="s">
        <v>136</v>
      </c>
      <c r="D9" s="273">
        <f>D6/100</f>
        <v>1.6597500000000003</v>
      </c>
      <c r="E9" s="392">
        <v>5500</v>
      </c>
      <c r="F9" s="392">
        <f t="shared" ref="F9:F72" si="2">D9*E9</f>
        <v>9128.6250000000018</v>
      </c>
      <c r="G9" s="400">
        <v>15000</v>
      </c>
      <c r="H9" s="400">
        <f t="shared" si="1"/>
        <v>24896.250000000004</v>
      </c>
      <c r="I9" s="400">
        <v>45000</v>
      </c>
      <c r="J9" s="429">
        <f t="shared" si="0"/>
        <v>74688.750000000015</v>
      </c>
    </row>
    <row r="10" spans="1:10" s="52" customFormat="1" ht="19.5" customHeight="1">
      <c r="A10" s="341"/>
      <c r="B10" s="235" t="s">
        <v>137</v>
      </c>
      <c r="C10" s="236" t="s">
        <v>138</v>
      </c>
      <c r="D10" s="273">
        <f>D6/80</f>
        <v>2.0746875000000005</v>
      </c>
      <c r="E10" s="392">
        <v>6000</v>
      </c>
      <c r="F10" s="392">
        <f t="shared" si="2"/>
        <v>12448.125000000004</v>
      </c>
      <c r="G10" s="419">
        <v>10000</v>
      </c>
      <c r="H10" s="400">
        <f t="shared" si="1"/>
        <v>20746.875000000004</v>
      </c>
      <c r="I10" s="419">
        <v>6000</v>
      </c>
      <c r="J10" s="429">
        <f t="shared" si="0"/>
        <v>12448.125000000004</v>
      </c>
    </row>
    <row r="11" spans="1:10" ht="19.5" customHeight="1">
      <c r="A11" s="341"/>
      <c r="B11" s="238" t="s">
        <v>5</v>
      </c>
      <c r="C11" s="236"/>
      <c r="D11" s="273"/>
      <c r="E11" s="393"/>
      <c r="F11" s="392">
        <f t="shared" si="2"/>
        <v>0</v>
      </c>
      <c r="G11" s="400"/>
      <c r="H11" s="400">
        <f t="shared" si="1"/>
        <v>0</v>
      </c>
      <c r="I11" s="400"/>
      <c r="J11" s="429">
        <f t="shared" si="0"/>
        <v>0</v>
      </c>
    </row>
    <row r="12" spans="1:10" ht="19.5" customHeight="1">
      <c r="A12" s="324"/>
      <c r="B12" s="93" t="s">
        <v>6</v>
      </c>
      <c r="C12" s="22"/>
      <c r="D12" s="113"/>
      <c r="E12" s="374"/>
      <c r="F12" s="392">
        <f t="shared" si="2"/>
        <v>0</v>
      </c>
      <c r="G12" s="400"/>
      <c r="H12" s="400">
        <f t="shared" si="1"/>
        <v>0</v>
      </c>
      <c r="I12" s="400"/>
      <c r="J12" s="429">
        <f t="shared" si="0"/>
        <v>0</v>
      </c>
    </row>
    <row r="13" spans="1:10" ht="19.5" customHeight="1">
      <c r="A13" s="324"/>
      <c r="B13" s="94" t="s">
        <v>90</v>
      </c>
      <c r="C13" s="22" t="s">
        <v>21</v>
      </c>
      <c r="D13" s="113">
        <f>D6/15</f>
        <v>11.065000000000001</v>
      </c>
      <c r="E13" s="374">
        <v>7600</v>
      </c>
      <c r="F13" s="392">
        <f t="shared" si="2"/>
        <v>84094.000000000015</v>
      </c>
      <c r="G13" s="400">
        <v>25000</v>
      </c>
      <c r="H13" s="400">
        <f t="shared" si="1"/>
        <v>276625.00000000006</v>
      </c>
      <c r="I13" s="400">
        <v>12000</v>
      </c>
      <c r="J13" s="429">
        <f t="shared" si="0"/>
        <v>132780.00000000003</v>
      </c>
    </row>
    <row r="14" spans="1:10" ht="19.5" customHeight="1">
      <c r="A14" s="324"/>
      <c r="B14" s="94" t="s">
        <v>25</v>
      </c>
      <c r="C14" s="22" t="s">
        <v>21</v>
      </c>
      <c r="D14" s="113">
        <f>D13*2</f>
        <v>22.130000000000003</v>
      </c>
      <c r="E14" s="374">
        <v>6800</v>
      </c>
      <c r="F14" s="392">
        <f t="shared" si="2"/>
        <v>150484.00000000003</v>
      </c>
      <c r="G14" s="400">
        <v>5000</v>
      </c>
      <c r="H14" s="400">
        <f t="shared" si="1"/>
        <v>110650.00000000001</v>
      </c>
      <c r="I14" s="400">
        <v>5000</v>
      </c>
      <c r="J14" s="429">
        <f t="shared" si="0"/>
        <v>110650.00000000001</v>
      </c>
    </row>
    <row r="15" spans="1:10" s="52" customFormat="1" ht="19.5" customHeight="1">
      <c r="A15" s="325"/>
      <c r="B15" s="10" t="s">
        <v>9</v>
      </c>
      <c r="C15" s="27"/>
      <c r="D15" s="117"/>
      <c r="E15" s="381"/>
      <c r="F15" s="392">
        <f t="shared" si="2"/>
        <v>0</v>
      </c>
      <c r="G15" s="419"/>
      <c r="H15" s="400">
        <f t="shared" si="1"/>
        <v>0</v>
      </c>
      <c r="I15" s="419"/>
      <c r="J15" s="429">
        <f t="shared" si="0"/>
        <v>0</v>
      </c>
    </row>
    <row r="16" spans="1:10" ht="19.5">
      <c r="A16" s="326">
        <v>1.02</v>
      </c>
      <c r="B16" s="15" t="s">
        <v>145</v>
      </c>
      <c r="C16" s="3" t="s">
        <v>146</v>
      </c>
      <c r="D16" s="112">
        <f>420+80</f>
        <v>500</v>
      </c>
      <c r="E16" s="371">
        <v>7175.3333333333321</v>
      </c>
      <c r="F16" s="398">
        <f t="shared" si="2"/>
        <v>3587666.666666666</v>
      </c>
      <c r="G16" s="403"/>
      <c r="H16" s="367">
        <f>SUBTOTAL(9,H17:H35)</f>
        <v>2495999.9999999995</v>
      </c>
      <c r="I16" s="403">
        <v>7114.6666666666652</v>
      </c>
      <c r="J16" s="415">
        <f t="shared" si="0"/>
        <v>3557333.3333333326</v>
      </c>
    </row>
    <row r="17" spans="1:10" ht="19.5">
      <c r="A17" s="325"/>
      <c r="B17" s="238" t="s">
        <v>147</v>
      </c>
      <c r="C17" s="236"/>
      <c r="D17" s="113"/>
      <c r="E17" s="392"/>
      <c r="F17" s="392">
        <f t="shared" si="2"/>
        <v>0</v>
      </c>
      <c r="G17" s="400"/>
      <c r="H17" s="400">
        <f t="shared" si="1"/>
        <v>0</v>
      </c>
      <c r="I17" s="400"/>
      <c r="J17" s="429">
        <f t="shared" si="0"/>
        <v>0</v>
      </c>
    </row>
    <row r="18" spans="1:10" ht="19.5">
      <c r="A18" s="327"/>
      <c r="B18" s="235" t="s">
        <v>148</v>
      </c>
      <c r="C18" s="236" t="s">
        <v>149</v>
      </c>
      <c r="D18" s="273">
        <f>(D16/6)*1.2</f>
        <v>99.999999999999986</v>
      </c>
      <c r="E18" s="392">
        <v>30500</v>
      </c>
      <c r="F18" s="392">
        <f t="shared" si="2"/>
        <v>3049999.9999999995</v>
      </c>
      <c r="G18" s="400">
        <v>15000</v>
      </c>
      <c r="H18" s="400">
        <f t="shared" si="1"/>
        <v>1499999.9999999998</v>
      </c>
      <c r="I18" s="400">
        <v>25000</v>
      </c>
      <c r="J18" s="429">
        <f t="shared" si="0"/>
        <v>2499999.9999999995</v>
      </c>
    </row>
    <row r="19" spans="1:10" ht="19.5">
      <c r="A19" s="327"/>
      <c r="B19" s="235" t="s">
        <v>150</v>
      </c>
      <c r="C19" s="236" t="s">
        <v>149</v>
      </c>
      <c r="D19" s="237">
        <f>(D18)/5</f>
        <v>19.999999999999996</v>
      </c>
      <c r="E19" s="392">
        <v>4500</v>
      </c>
      <c r="F19" s="392">
        <f t="shared" si="2"/>
        <v>89999.999999999985</v>
      </c>
      <c r="G19" s="400">
        <v>4000</v>
      </c>
      <c r="H19" s="400">
        <f t="shared" si="1"/>
        <v>79999.999999999985</v>
      </c>
      <c r="I19" s="400">
        <v>5000</v>
      </c>
      <c r="J19" s="429">
        <f t="shared" si="0"/>
        <v>99999.999999999985</v>
      </c>
    </row>
    <row r="20" spans="1:10" ht="19.5">
      <c r="A20" s="327"/>
      <c r="B20" s="235" t="s">
        <v>151</v>
      </c>
      <c r="C20" s="236" t="s">
        <v>152</v>
      </c>
      <c r="D20" s="237">
        <f>(D19)/5</f>
        <v>3.9999999999999991</v>
      </c>
      <c r="E20" s="392">
        <v>7500</v>
      </c>
      <c r="F20" s="392">
        <f t="shared" si="2"/>
        <v>29999.999999999993</v>
      </c>
      <c r="G20" s="400">
        <v>9000</v>
      </c>
      <c r="H20" s="400">
        <f t="shared" si="1"/>
        <v>35999.999999999993</v>
      </c>
      <c r="I20" s="400">
        <v>6000</v>
      </c>
      <c r="J20" s="429">
        <f t="shared" si="0"/>
        <v>23999.999999999996</v>
      </c>
    </row>
    <row r="21" spans="1:10" ht="19.5">
      <c r="A21" s="324"/>
      <c r="B21" s="235" t="s">
        <v>153</v>
      </c>
      <c r="C21" s="236" t="s">
        <v>4</v>
      </c>
      <c r="D21" s="237">
        <f>(D18)/5</f>
        <v>19.999999999999996</v>
      </c>
      <c r="E21" s="392">
        <v>3500</v>
      </c>
      <c r="F21" s="392">
        <f t="shared" si="2"/>
        <v>69999.999999999985</v>
      </c>
      <c r="G21" s="400">
        <v>3000</v>
      </c>
      <c r="H21" s="400">
        <f t="shared" si="1"/>
        <v>59999.999999999993</v>
      </c>
      <c r="I21" s="400">
        <v>4000</v>
      </c>
      <c r="J21" s="429">
        <f t="shared" si="0"/>
        <v>79999.999999999985</v>
      </c>
    </row>
    <row r="22" spans="1:10" ht="19.5">
      <c r="A22" s="324"/>
      <c r="B22" s="235" t="s">
        <v>154</v>
      </c>
      <c r="C22" s="236" t="s">
        <v>4</v>
      </c>
      <c r="D22" s="237">
        <f>(D18)/5</f>
        <v>19.999999999999996</v>
      </c>
      <c r="E22" s="392">
        <v>1800</v>
      </c>
      <c r="F22" s="392">
        <f t="shared" si="2"/>
        <v>35999.999999999993</v>
      </c>
      <c r="G22" s="400">
        <v>6000</v>
      </c>
      <c r="H22" s="400">
        <f t="shared" si="1"/>
        <v>119999.99999999999</v>
      </c>
      <c r="I22" s="400">
        <v>6000</v>
      </c>
      <c r="J22" s="429">
        <f t="shared" si="0"/>
        <v>119999.99999999999</v>
      </c>
    </row>
    <row r="23" spans="1:10" ht="19.5">
      <c r="A23" s="324"/>
      <c r="B23" s="235" t="s">
        <v>155</v>
      </c>
      <c r="C23" s="236" t="s">
        <v>4</v>
      </c>
      <c r="D23" s="237">
        <f>D18/2</f>
        <v>49.999999999999993</v>
      </c>
      <c r="E23" s="392">
        <v>2000</v>
      </c>
      <c r="F23" s="392">
        <f t="shared" si="2"/>
        <v>99999.999999999985</v>
      </c>
      <c r="G23" s="400">
        <v>2000</v>
      </c>
      <c r="H23" s="400">
        <f t="shared" si="1"/>
        <v>99999.999999999985</v>
      </c>
      <c r="I23" s="400">
        <v>5000</v>
      </c>
      <c r="J23" s="429">
        <f t="shared" si="0"/>
        <v>249999.99999999997</v>
      </c>
    </row>
    <row r="24" spans="1:10" ht="19.5">
      <c r="A24" s="325"/>
      <c r="B24" s="235" t="s">
        <v>156</v>
      </c>
      <c r="C24" s="236" t="s">
        <v>157</v>
      </c>
      <c r="D24" s="237">
        <f>D18/30</f>
        <v>3.333333333333333</v>
      </c>
      <c r="E24" s="392">
        <v>12500</v>
      </c>
      <c r="F24" s="392">
        <f t="shared" si="2"/>
        <v>41666.666666666664</v>
      </c>
      <c r="G24" s="400">
        <v>20000</v>
      </c>
      <c r="H24" s="400">
        <f t="shared" si="1"/>
        <v>66666.666666666657</v>
      </c>
      <c r="I24" s="400">
        <v>35000</v>
      </c>
      <c r="J24" s="429">
        <f t="shared" si="0"/>
        <v>116666.66666666666</v>
      </c>
    </row>
    <row r="25" spans="1:10" ht="19.5">
      <c r="A25" s="342"/>
      <c r="B25" s="238" t="s">
        <v>5</v>
      </c>
      <c r="C25" s="242"/>
      <c r="D25" s="243"/>
      <c r="E25" s="393"/>
      <c r="F25" s="392">
        <f t="shared" si="2"/>
        <v>0</v>
      </c>
      <c r="G25" s="400"/>
      <c r="H25" s="400">
        <f t="shared" si="1"/>
        <v>0</v>
      </c>
      <c r="I25" s="400"/>
      <c r="J25" s="429">
        <f t="shared" si="0"/>
        <v>0</v>
      </c>
    </row>
    <row r="26" spans="1:10" ht="15.75">
      <c r="A26" s="343"/>
      <c r="B26" s="235"/>
      <c r="C26" s="236"/>
      <c r="D26" s="237"/>
      <c r="E26" s="392"/>
      <c r="F26" s="392">
        <f t="shared" si="2"/>
        <v>0</v>
      </c>
      <c r="G26" s="400"/>
      <c r="H26" s="400">
        <f t="shared" si="1"/>
        <v>0</v>
      </c>
      <c r="I26" s="400"/>
      <c r="J26" s="429">
        <f t="shared" si="0"/>
        <v>0</v>
      </c>
    </row>
    <row r="27" spans="1:10" ht="16.5">
      <c r="A27" s="343"/>
      <c r="B27" s="238" t="s">
        <v>139</v>
      </c>
      <c r="C27" s="236"/>
      <c r="D27" s="237"/>
      <c r="E27" s="392"/>
      <c r="F27" s="392">
        <f t="shared" si="2"/>
        <v>0</v>
      </c>
      <c r="G27" s="400"/>
      <c r="H27" s="400">
        <f t="shared" si="1"/>
        <v>0</v>
      </c>
      <c r="I27" s="400"/>
      <c r="J27" s="429">
        <f t="shared" si="0"/>
        <v>0</v>
      </c>
    </row>
    <row r="28" spans="1:10" ht="16.5">
      <c r="A28" s="343"/>
      <c r="B28" s="91" t="s">
        <v>158</v>
      </c>
      <c r="C28" s="236" t="s">
        <v>62</v>
      </c>
      <c r="D28" s="237">
        <f>D33</f>
        <v>6.6666666666666661</v>
      </c>
      <c r="E28" s="392">
        <v>5500</v>
      </c>
      <c r="F28" s="392">
        <f t="shared" si="2"/>
        <v>36666.666666666664</v>
      </c>
      <c r="G28" s="400">
        <v>35000</v>
      </c>
      <c r="H28" s="400">
        <f t="shared" si="1"/>
        <v>233333.33333333331</v>
      </c>
      <c r="I28" s="400">
        <v>20000</v>
      </c>
      <c r="J28" s="429">
        <f t="shared" si="0"/>
        <v>133333.33333333331</v>
      </c>
    </row>
    <row r="29" spans="1:10" ht="15.75">
      <c r="A29" s="343"/>
      <c r="B29" s="46" t="s">
        <v>159</v>
      </c>
      <c r="C29" s="236" t="s">
        <v>62</v>
      </c>
      <c r="D29" s="237">
        <f>D28</f>
        <v>6.6666666666666661</v>
      </c>
      <c r="E29" s="392">
        <v>4500</v>
      </c>
      <c r="F29" s="392">
        <f t="shared" si="2"/>
        <v>29999.999999999996</v>
      </c>
      <c r="G29" s="400">
        <v>10000</v>
      </c>
      <c r="H29" s="400">
        <f t="shared" si="1"/>
        <v>66666.666666666657</v>
      </c>
      <c r="I29" s="400">
        <v>10000</v>
      </c>
      <c r="J29" s="429">
        <f t="shared" si="0"/>
        <v>66666.666666666657</v>
      </c>
    </row>
    <row r="30" spans="1:10" s="60" customFormat="1" ht="16.5">
      <c r="A30" s="344"/>
      <c r="B30" s="57" t="s">
        <v>171</v>
      </c>
      <c r="C30" s="242"/>
      <c r="D30" s="243"/>
      <c r="E30" s="393"/>
      <c r="F30" s="392">
        <f t="shared" si="2"/>
        <v>0</v>
      </c>
      <c r="G30" s="407"/>
      <c r="H30" s="400">
        <f t="shared" si="1"/>
        <v>0</v>
      </c>
      <c r="I30" s="407"/>
      <c r="J30" s="429">
        <f t="shared" si="0"/>
        <v>0</v>
      </c>
    </row>
    <row r="31" spans="1:10" ht="15.75">
      <c r="A31" s="343"/>
      <c r="B31" s="345"/>
      <c r="C31" s="256"/>
      <c r="D31" s="264"/>
      <c r="E31" s="421"/>
      <c r="F31" s="392">
        <f t="shared" si="2"/>
        <v>0</v>
      </c>
      <c r="G31" s="400"/>
      <c r="H31" s="400">
        <f t="shared" si="1"/>
        <v>0</v>
      </c>
      <c r="I31" s="400"/>
      <c r="J31" s="429">
        <f t="shared" si="0"/>
        <v>0</v>
      </c>
    </row>
    <row r="32" spans="1:10" ht="16.5">
      <c r="A32" s="343"/>
      <c r="B32" s="93" t="s">
        <v>6</v>
      </c>
      <c r="C32" s="22"/>
      <c r="D32" s="113"/>
      <c r="E32" s="374"/>
      <c r="F32" s="392">
        <f t="shared" si="2"/>
        <v>0</v>
      </c>
      <c r="G32" s="400"/>
      <c r="H32" s="400">
        <f t="shared" si="1"/>
        <v>0</v>
      </c>
      <c r="I32" s="400"/>
      <c r="J32" s="429">
        <f t="shared" si="0"/>
        <v>0</v>
      </c>
    </row>
    <row r="33" spans="1:10" ht="15.75">
      <c r="A33" s="343"/>
      <c r="B33" s="94" t="s">
        <v>160</v>
      </c>
      <c r="C33" s="22" t="s">
        <v>21</v>
      </c>
      <c r="D33" s="113">
        <f>D18/15</f>
        <v>6.6666666666666661</v>
      </c>
      <c r="E33" s="374">
        <v>6500</v>
      </c>
      <c r="F33" s="392">
        <f t="shared" si="2"/>
        <v>43333.333333333328</v>
      </c>
      <c r="G33" s="400">
        <v>25000</v>
      </c>
      <c r="H33" s="400">
        <f t="shared" si="1"/>
        <v>166666.66666666666</v>
      </c>
      <c r="I33" s="400">
        <v>15000</v>
      </c>
      <c r="J33" s="429">
        <f t="shared" si="0"/>
        <v>99999.999999999985</v>
      </c>
    </row>
    <row r="34" spans="1:10" ht="15.75">
      <c r="A34" s="343"/>
      <c r="B34" s="94" t="s">
        <v>25</v>
      </c>
      <c r="C34" s="22" t="s">
        <v>21</v>
      </c>
      <c r="D34" s="113">
        <f>D33*2</f>
        <v>13.333333333333332</v>
      </c>
      <c r="E34" s="374">
        <v>4500</v>
      </c>
      <c r="F34" s="392">
        <f t="shared" si="2"/>
        <v>59999.999999999993</v>
      </c>
      <c r="G34" s="400">
        <v>5000</v>
      </c>
      <c r="H34" s="400">
        <f t="shared" si="1"/>
        <v>66666.666666666657</v>
      </c>
      <c r="I34" s="400">
        <v>5000</v>
      </c>
      <c r="J34" s="429">
        <f t="shared" si="0"/>
        <v>66666.666666666657</v>
      </c>
    </row>
    <row r="35" spans="1:10" ht="16.5">
      <c r="A35" s="343"/>
      <c r="B35" s="10" t="s">
        <v>9</v>
      </c>
      <c r="C35" s="27"/>
      <c r="D35" s="117"/>
      <c r="E35" s="381"/>
      <c r="F35" s="392">
        <f t="shared" si="2"/>
        <v>0</v>
      </c>
      <c r="G35" s="400"/>
      <c r="H35" s="400">
        <f t="shared" si="1"/>
        <v>0</v>
      </c>
      <c r="I35" s="400"/>
      <c r="J35" s="429">
        <f t="shared" si="0"/>
        <v>0</v>
      </c>
    </row>
    <row r="36" spans="1:10" ht="22.5">
      <c r="A36" s="343"/>
      <c r="B36" s="489" t="s">
        <v>162</v>
      </c>
      <c r="C36" s="489"/>
      <c r="D36" s="489"/>
      <c r="E36" s="394"/>
      <c r="F36" s="392">
        <f t="shared" si="2"/>
        <v>0</v>
      </c>
      <c r="G36" s="400"/>
      <c r="H36" s="400">
        <f t="shared" si="1"/>
        <v>0</v>
      </c>
      <c r="I36" s="400"/>
      <c r="J36" s="429">
        <f t="shared" si="0"/>
        <v>0</v>
      </c>
    </row>
    <row r="37" spans="1:10" ht="19.5">
      <c r="A37" s="340">
        <v>1.03</v>
      </c>
      <c r="B37" s="15" t="s">
        <v>140</v>
      </c>
      <c r="C37" s="3" t="s">
        <v>50</v>
      </c>
      <c r="D37" s="112">
        <f>(4.6*13)*2</f>
        <v>119.6</v>
      </c>
      <c r="E37" s="371">
        <v>7826.3333333333339</v>
      </c>
      <c r="F37" s="398">
        <f t="shared" si="2"/>
        <v>936029.46666666667</v>
      </c>
      <c r="G37" s="403"/>
      <c r="H37" s="367">
        <f>SUBTOTAL(9,H38:H45)</f>
        <v>1459020.3333333333</v>
      </c>
      <c r="I37" s="403">
        <v>11261.666666666666</v>
      </c>
      <c r="J37" s="415">
        <f t="shared" si="0"/>
        <v>1346895.3333333333</v>
      </c>
    </row>
    <row r="38" spans="1:10" ht="19.5">
      <c r="A38" s="341"/>
      <c r="B38" s="238" t="s">
        <v>134</v>
      </c>
      <c r="C38" s="236"/>
      <c r="D38" s="113"/>
      <c r="E38" s="392"/>
      <c r="F38" s="392">
        <f t="shared" si="2"/>
        <v>0</v>
      </c>
      <c r="G38" s="400"/>
      <c r="H38" s="400">
        <f t="shared" si="1"/>
        <v>0</v>
      </c>
      <c r="I38" s="400"/>
      <c r="J38" s="429">
        <f t="shared" ref="J38:J69" si="3">D38*I38</f>
        <v>0</v>
      </c>
    </row>
    <row r="39" spans="1:10" ht="19.5">
      <c r="A39" s="341"/>
      <c r="B39" s="235" t="s">
        <v>142</v>
      </c>
      <c r="C39" s="236" t="s">
        <v>1</v>
      </c>
      <c r="D39" s="273">
        <f>D37*1.03</f>
        <v>123.188</v>
      </c>
      <c r="E39" s="392">
        <v>6100</v>
      </c>
      <c r="F39" s="392">
        <f t="shared" si="2"/>
        <v>751446.8</v>
      </c>
      <c r="G39" s="400">
        <v>9000</v>
      </c>
      <c r="H39" s="400">
        <f t="shared" si="1"/>
        <v>1108692</v>
      </c>
      <c r="I39" s="400">
        <v>9000</v>
      </c>
      <c r="J39" s="429">
        <f t="shared" si="3"/>
        <v>1108692</v>
      </c>
    </row>
    <row r="40" spans="1:10" ht="19.5">
      <c r="A40" s="341"/>
      <c r="B40" s="235" t="s">
        <v>135</v>
      </c>
      <c r="C40" s="236" t="s">
        <v>136</v>
      </c>
      <c r="D40" s="273">
        <f>D37/100</f>
        <v>1.196</v>
      </c>
      <c r="E40" s="392">
        <v>5500</v>
      </c>
      <c r="F40" s="392">
        <f t="shared" si="2"/>
        <v>6578</v>
      </c>
      <c r="G40" s="400">
        <v>15000</v>
      </c>
      <c r="H40" s="400">
        <f t="shared" ref="H40:H71" si="4">D40*G40</f>
        <v>17940</v>
      </c>
      <c r="I40" s="400">
        <v>45000</v>
      </c>
      <c r="J40" s="429">
        <f t="shared" si="3"/>
        <v>53820</v>
      </c>
    </row>
    <row r="41" spans="1:10" ht="19.5">
      <c r="A41" s="341"/>
      <c r="B41" s="235" t="s">
        <v>137</v>
      </c>
      <c r="C41" s="236" t="s">
        <v>138</v>
      </c>
      <c r="D41" s="273">
        <f>D37/80</f>
        <v>1.4949999999999999</v>
      </c>
      <c r="E41" s="392">
        <v>6000</v>
      </c>
      <c r="F41" s="392">
        <f t="shared" si="2"/>
        <v>8970</v>
      </c>
      <c r="G41" s="400">
        <v>9000</v>
      </c>
      <c r="H41" s="400">
        <f t="shared" si="4"/>
        <v>13454.999999999998</v>
      </c>
      <c r="I41" s="400">
        <v>6000</v>
      </c>
      <c r="J41" s="429">
        <f t="shared" si="3"/>
        <v>8970</v>
      </c>
    </row>
    <row r="42" spans="1:10" ht="19.5">
      <c r="A42" s="341"/>
      <c r="B42" s="238" t="s">
        <v>5</v>
      </c>
      <c r="C42" s="236"/>
      <c r="D42" s="273"/>
      <c r="E42" s="393"/>
      <c r="F42" s="392">
        <f t="shared" si="2"/>
        <v>0</v>
      </c>
      <c r="G42" s="400"/>
      <c r="H42" s="400">
        <f t="shared" si="4"/>
        <v>0</v>
      </c>
      <c r="I42" s="400"/>
      <c r="J42" s="429">
        <f t="shared" si="3"/>
        <v>0</v>
      </c>
    </row>
    <row r="43" spans="1:10" ht="19.5">
      <c r="A43" s="324"/>
      <c r="B43" s="93" t="s">
        <v>6</v>
      </c>
      <c r="C43" s="22"/>
      <c r="D43" s="113"/>
      <c r="E43" s="374"/>
      <c r="F43" s="392">
        <f t="shared" si="2"/>
        <v>0</v>
      </c>
      <c r="G43" s="400"/>
      <c r="H43" s="400">
        <f t="shared" si="4"/>
        <v>0</v>
      </c>
      <c r="I43" s="400"/>
      <c r="J43" s="429">
        <f t="shared" si="3"/>
        <v>0</v>
      </c>
    </row>
    <row r="44" spans="1:10" ht="19.5">
      <c r="A44" s="324"/>
      <c r="B44" s="94" t="s">
        <v>90</v>
      </c>
      <c r="C44" s="22" t="s">
        <v>21</v>
      </c>
      <c r="D44" s="113">
        <f>D37/15</f>
        <v>7.9733333333333327</v>
      </c>
      <c r="E44" s="374">
        <v>7600</v>
      </c>
      <c r="F44" s="392">
        <f t="shared" si="2"/>
        <v>60597.333333333328</v>
      </c>
      <c r="G44" s="400">
        <v>30000</v>
      </c>
      <c r="H44" s="400">
        <f t="shared" si="4"/>
        <v>239199.99999999997</v>
      </c>
      <c r="I44" s="400">
        <v>12000</v>
      </c>
      <c r="J44" s="429">
        <f t="shared" si="3"/>
        <v>95679.999999999985</v>
      </c>
    </row>
    <row r="45" spans="1:10" ht="19.5">
      <c r="A45" s="324"/>
      <c r="B45" s="94" t="s">
        <v>25</v>
      </c>
      <c r="C45" s="22" t="s">
        <v>21</v>
      </c>
      <c r="D45" s="113">
        <f>D44*2</f>
        <v>15.946666666666665</v>
      </c>
      <c r="E45" s="374">
        <v>6800</v>
      </c>
      <c r="F45" s="392">
        <f t="shared" si="2"/>
        <v>108437.33333333333</v>
      </c>
      <c r="G45" s="400">
        <v>5000</v>
      </c>
      <c r="H45" s="400">
        <f t="shared" si="4"/>
        <v>79733.333333333328</v>
      </c>
      <c r="I45" s="400">
        <v>5000</v>
      </c>
      <c r="J45" s="429">
        <f t="shared" si="3"/>
        <v>79733.333333333328</v>
      </c>
    </row>
    <row r="46" spans="1:10" ht="19.5">
      <c r="A46" s="325"/>
      <c r="B46" s="10" t="s">
        <v>9</v>
      </c>
      <c r="C46" s="27"/>
      <c r="D46" s="117"/>
      <c r="E46" s="381"/>
      <c r="F46" s="392">
        <f t="shared" si="2"/>
        <v>0</v>
      </c>
      <c r="G46" s="400"/>
      <c r="H46" s="400">
        <f t="shared" si="4"/>
        <v>0</v>
      </c>
      <c r="I46" s="400"/>
      <c r="J46" s="429">
        <f t="shared" si="3"/>
        <v>0</v>
      </c>
    </row>
    <row r="47" spans="1:10" ht="19.5">
      <c r="A47" s="326">
        <v>1.04</v>
      </c>
      <c r="B47" s="15" t="s">
        <v>145</v>
      </c>
      <c r="C47" s="3" t="s">
        <v>146</v>
      </c>
      <c r="D47" s="112">
        <f>260+150</f>
        <v>410</v>
      </c>
      <c r="E47" s="371">
        <v>6577.3888888888878</v>
      </c>
      <c r="F47" s="398">
        <f t="shared" si="2"/>
        <v>2696729.444444444</v>
      </c>
      <c r="G47" s="403"/>
      <c r="H47" s="367">
        <f>SUBTOTAL(9,H48:H68)</f>
        <v>1811015.5555555553</v>
      </c>
      <c r="I47" s="403">
        <v>7114.0422222222223</v>
      </c>
      <c r="J47" s="415">
        <f t="shared" si="3"/>
        <v>2916757.3111111112</v>
      </c>
    </row>
    <row r="48" spans="1:10" ht="19.5">
      <c r="A48" s="325"/>
      <c r="B48" s="238" t="s">
        <v>147</v>
      </c>
      <c r="C48" s="236"/>
      <c r="D48" s="113"/>
      <c r="E48" s="392"/>
      <c r="F48" s="392">
        <f t="shared" si="2"/>
        <v>0</v>
      </c>
      <c r="G48" s="400"/>
      <c r="H48" s="400">
        <f t="shared" si="4"/>
        <v>0</v>
      </c>
      <c r="I48" s="400"/>
      <c r="J48" s="429">
        <f t="shared" si="3"/>
        <v>0</v>
      </c>
    </row>
    <row r="49" spans="1:10" ht="19.5">
      <c r="A49" s="327"/>
      <c r="B49" s="235" t="s">
        <v>148</v>
      </c>
      <c r="C49" s="236" t="s">
        <v>149</v>
      </c>
      <c r="D49" s="273">
        <f>(D47/6)*1.1</f>
        <v>75.166666666666671</v>
      </c>
      <c r="E49" s="392">
        <v>30500</v>
      </c>
      <c r="F49" s="392">
        <f t="shared" si="2"/>
        <v>2292583.3333333335</v>
      </c>
      <c r="G49" s="400">
        <v>15000</v>
      </c>
      <c r="H49" s="400">
        <f t="shared" si="4"/>
        <v>1127500</v>
      </c>
      <c r="I49" s="400">
        <v>25000</v>
      </c>
      <c r="J49" s="429">
        <f t="shared" si="3"/>
        <v>1879166.6666666667</v>
      </c>
    </row>
    <row r="50" spans="1:10" ht="19.5">
      <c r="A50" s="327"/>
      <c r="B50" s="235" t="s">
        <v>150</v>
      </c>
      <c r="C50" s="236" t="s">
        <v>149</v>
      </c>
      <c r="D50" s="237">
        <f>(D49)/5</f>
        <v>15.033333333333335</v>
      </c>
      <c r="E50" s="392">
        <v>4500</v>
      </c>
      <c r="F50" s="392">
        <f t="shared" si="2"/>
        <v>67650.000000000015</v>
      </c>
      <c r="G50" s="400">
        <v>4000</v>
      </c>
      <c r="H50" s="400">
        <f t="shared" si="4"/>
        <v>60133.333333333343</v>
      </c>
      <c r="I50" s="400">
        <v>5000</v>
      </c>
      <c r="J50" s="429">
        <f t="shared" si="3"/>
        <v>75166.666666666672</v>
      </c>
    </row>
    <row r="51" spans="1:10" ht="19.5">
      <c r="A51" s="327"/>
      <c r="B51" s="235" t="s">
        <v>151</v>
      </c>
      <c r="C51" s="236" t="s">
        <v>152</v>
      </c>
      <c r="D51" s="237">
        <f>(D50)/5</f>
        <v>3.0066666666666668</v>
      </c>
      <c r="E51" s="392">
        <v>7500</v>
      </c>
      <c r="F51" s="392">
        <f t="shared" si="2"/>
        <v>22550</v>
      </c>
      <c r="G51" s="400">
        <v>9000</v>
      </c>
      <c r="H51" s="400">
        <f t="shared" si="4"/>
        <v>27060</v>
      </c>
      <c r="I51" s="400">
        <v>6000</v>
      </c>
      <c r="J51" s="429">
        <f t="shared" si="3"/>
        <v>18040</v>
      </c>
    </row>
    <row r="52" spans="1:10" ht="19.5">
      <c r="A52" s="324"/>
      <c r="B52" s="235" t="s">
        <v>153</v>
      </c>
      <c r="C52" s="236" t="s">
        <v>4</v>
      </c>
      <c r="D52" s="237">
        <f>(D49)/5</f>
        <v>15.033333333333335</v>
      </c>
      <c r="E52" s="392">
        <v>3500</v>
      </c>
      <c r="F52" s="392">
        <f t="shared" si="2"/>
        <v>52616.666666666672</v>
      </c>
      <c r="G52" s="400">
        <v>3000</v>
      </c>
      <c r="H52" s="400">
        <f t="shared" si="4"/>
        <v>45100.000000000007</v>
      </c>
      <c r="I52" s="400">
        <v>4000</v>
      </c>
      <c r="J52" s="429">
        <f t="shared" si="3"/>
        <v>60133.333333333343</v>
      </c>
    </row>
    <row r="53" spans="1:10" ht="19.5">
      <c r="A53" s="324"/>
      <c r="B53" s="235" t="s">
        <v>154</v>
      </c>
      <c r="C53" s="236" t="s">
        <v>4</v>
      </c>
      <c r="D53" s="237">
        <f>(D49)/5</f>
        <v>15.033333333333335</v>
      </c>
      <c r="E53" s="392">
        <v>1800</v>
      </c>
      <c r="F53" s="392">
        <f t="shared" si="2"/>
        <v>27060.000000000004</v>
      </c>
      <c r="G53" s="400">
        <v>5000</v>
      </c>
      <c r="H53" s="400">
        <f t="shared" si="4"/>
        <v>75166.666666666672</v>
      </c>
      <c r="I53" s="400">
        <v>6000</v>
      </c>
      <c r="J53" s="429">
        <f t="shared" si="3"/>
        <v>90200.000000000015</v>
      </c>
    </row>
    <row r="54" spans="1:10" ht="19.5">
      <c r="A54" s="324"/>
      <c r="B54" s="235" t="s">
        <v>155</v>
      </c>
      <c r="C54" s="236" t="s">
        <v>4</v>
      </c>
      <c r="D54" s="237">
        <f>D49/2</f>
        <v>37.583333333333336</v>
      </c>
      <c r="E54" s="392">
        <v>2000</v>
      </c>
      <c r="F54" s="392">
        <f t="shared" si="2"/>
        <v>75166.666666666672</v>
      </c>
      <c r="G54" s="400">
        <v>2000</v>
      </c>
      <c r="H54" s="400">
        <f t="shared" si="4"/>
        <v>75166.666666666672</v>
      </c>
      <c r="I54" s="400">
        <v>5000</v>
      </c>
      <c r="J54" s="429">
        <f t="shared" si="3"/>
        <v>187916.66666666669</v>
      </c>
    </row>
    <row r="55" spans="1:10" ht="19.5">
      <c r="A55" s="325"/>
      <c r="B55" s="235" t="s">
        <v>156</v>
      </c>
      <c r="C55" s="236" t="s">
        <v>157</v>
      </c>
      <c r="D55" s="237">
        <f>D49/30</f>
        <v>2.5055555555555555</v>
      </c>
      <c r="E55" s="392">
        <v>12500</v>
      </c>
      <c r="F55" s="392">
        <f t="shared" si="2"/>
        <v>31319.444444444445</v>
      </c>
      <c r="G55" s="400">
        <v>20000</v>
      </c>
      <c r="H55" s="400">
        <f t="shared" si="4"/>
        <v>50111.111111111109</v>
      </c>
      <c r="I55" s="400">
        <v>35000</v>
      </c>
      <c r="J55" s="429">
        <f t="shared" si="3"/>
        <v>87694.444444444438</v>
      </c>
    </row>
    <row r="56" spans="1:10" ht="19.5">
      <c r="A56" s="342"/>
      <c r="B56" s="238" t="s">
        <v>5</v>
      </c>
      <c r="C56" s="242"/>
      <c r="D56" s="243"/>
      <c r="E56" s="393"/>
      <c r="F56" s="392">
        <f t="shared" si="2"/>
        <v>0</v>
      </c>
      <c r="G56" s="400"/>
      <c r="H56" s="400">
        <f t="shared" si="4"/>
        <v>0</v>
      </c>
      <c r="I56" s="400"/>
      <c r="J56" s="429">
        <f t="shared" si="3"/>
        <v>0</v>
      </c>
    </row>
    <row r="57" spans="1:10" ht="15.75">
      <c r="A57" s="343"/>
      <c r="B57" s="235"/>
      <c r="C57" s="236"/>
      <c r="D57" s="237"/>
      <c r="E57" s="392"/>
      <c r="F57" s="392">
        <f t="shared" si="2"/>
        <v>0</v>
      </c>
      <c r="G57" s="400"/>
      <c r="H57" s="400">
        <f t="shared" si="4"/>
        <v>0</v>
      </c>
      <c r="I57" s="400"/>
      <c r="J57" s="429">
        <f t="shared" si="3"/>
        <v>0</v>
      </c>
    </row>
    <row r="58" spans="1:10" ht="16.5">
      <c r="A58" s="343"/>
      <c r="B58" s="238" t="s">
        <v>139</v>
      </c>
      <c r="C58" s="236"/>
      <c r="D58" s="237"/>
      <c r="E58" s="392"/>
      <c r="F58" s="392">
        <f t="shared" si="2"/>
        <v>0</v>
      </c>
      <c r="G58" s="400"/>
      <c r="H58" s="400">
        <f t="shared" si="4"/>
        <v>0</v>
      </c>
      <c r="I58" s="400"/>
      <c r="J58" s="429">
        <f t="shared" si="3"/>
        <v>0</v>
      </c>
    </row>
    <row r="59" spans="1:10" ht="16.5">
      <c r="A59" s="343"/>
      <c r="B59" s="91" t="s">
        <v>158</v>
      </c>
      <c r="C59" s="236" t="s">
        <v>62</v>
      </c>
      <c r="D59" s="237">
        <f>D64</f>
        <v>5.0111111111111111</v>
      </c>
      <c r="E59" s="392">
        <v>5500</v>
      </c>
      <c r="F59" s="392">
        <f t="shared" si="2"/>
        <v>27561.111111111109</v>
      </c>
      <c r="G59" s="400">
        <v>20000</v>
      </c>
      <c r="H59" s="400">
        <f t="shared" si="4"/>
        <v>100222.22222222222</v>
      </c>
      <c r="I59" s="400">
        <v>38458</v>
      </c>
      <c r="J59" s="429">
        <f t="shared" si="3"/>
        <v>192717.31111111111</v>
      </c>
    </row>
    <row r="60" spans="1:10" ht="15.75">
      <c r="A60" s="343"/>
      <c r="B60" s="46" t="s">
        <v>159</v>
      </c>
      <c r="C60" s="236" t="s">
        <v>62</v>
      </c>
      <c r="D60" s="237">
        <f>D59</f>
        <v>5.0111111111111111</v>
      </c>
      <c r="E60" s="392">
        <v>4500</v>
      </c>
      <c r="F60" s="392">
        <f t="shared" si="2"/>
        <v>22550</v>
      </c>
      <c r="G60" s="400">
        <v>10000</v>
      </c>
      <c r="H60" s="400">
        <f t="shared" si="4"/>
        <v>50111.111111111109</v>
      </c>
      <c r="I60" s="400">
        <v>25000</v>
      </c>
      <c r="J60" s="429">
        <f t="shared" si="3"/>
        <v>125277.77777777778</v>
      </c>
    </row>
    <row r="61" spans="1:10" s="60" customFormat="1" ht="16.5">
      <c r="A61" s="344"/>
      <c r="B61" s="57" t="s">
        <v>171</v>
      </c>
      <c r="C61" s="242"/>
      <c r="D61" s="243"/>
      <c r="E61" s="393"/>
      <c r="F61" s="392">
        <f t="shared" si="2"/>
        <v>0</v>
      </c>
      <c r="G61" s="407"/>
      <c r="H61" s="400">
        <f t="shared" si="4"/>
        <v>0</v>
      </c>
      <c r="I61" s="407"/>
      <c r="J61" s="429">
        <f t="shared" si="3"/>
        <v>0</v>
      </c>
    </row>
    <row r="62" spans="1:10" ht="15.75">
      <c r="A62" s="343"/>
      <c r="B62" s="345"/>
      <c r="C62" s="256"/>
      <c r="D62" s="264"/>
      <c r="E62" s="421"/>
      <c r="F62" s="392">
        <f t="shared" si="2"/>
        <v>0</v>
      </c>
      <c r="G62" s="400"/>
      <c r="H62" s="400">
        <f t="shared" si="4"/>
        <v>0</v>
      </c>
      <c r="I62" s="400"/>
      <c r="J62" s="429">
        <f t="shared" si="3"/>
        <v>0</v>
      </c>
    </row>
    <row r="63" spans="1:10" ht="16.5">
      <c r="A63" s="343"/>
      <c r="B63" s="93" t="s">
        <v>6</v>
      </c>
      <c r="C63" s="22"/>
      <c r="D63" s="113"/>
      <c r="E63" s="374"/>
      <c r="F63" s="392">
        <f t="shared" si="2"/>
        <v>0</v>
      </c>
      <c r="G63" s="400"/>
      <c r="H63" s="400">
        <f t="shared" si="4"/>
        <v>0</v>
      </c>
      <c r="I63" s="400"/>
      <c r="J63" s="429">
        <f t="shared" si="3"/>
        <v>0</v>
      </c>
    </row>
    <row r="64" spans="1:10" ht="15.75">
      <c r="A64" s="343"/>
      <c r="B64" s="94" t="s">
        <v>160</v>
      </c>
      <c r="C64" s="22" t="s">
        <v>21</v>
      </c>
      <c r="D64" s="113">
        <f>D49/15</f>
        <v>5.0111111111111111</v>
      </c>
      <c r="E64" s="374">
        <v>6500</v>
      </c>
      <c r="F64" s="392">
        <f t="shared" si="2"/>
        <v>32572.222222222223</v>
      </c>
      <c r="G64" s="400">
        <v>30000</v>
      </c>
      <c r="H64" s="400">
        <f t="shared" si="4"/>
        <v>150333.33333333334</v>
      </c>
      <c r="I64" s="400">
        <v>20000</v>
      </c>
      <c r="J64" s="429">
        <f t="shared" si="3"/>
        <v>100222.22222222222</v>
      </c>
    </row>
    <row r="65" spans="1:10" ht="15.75">
      <c r="A65" s="343"/>
      <c r="B65" s="94" t="s">
        <v>25</v>
      </c>
      <c r="C65" s="22" t="s">
        <v>21</v>
      </c>
      <c r="D65" s="113">
        <f>D64*2</f>
        <v>10.022222222222222</v>
      </c>
      <c r="E65" s="374">
        <v>4500</v>
      </c>
      <c r="F65" s="392">
        <f t="shared" si="2"/>
        <v>45100</v>
      </c>
      <c r="G65" s="400">
        <v>5000</v>
      </c>
      <c r="H65" s="400">
        <f t="shared" si="4"/>
        <v>50111.111111111109</v>
      </c>
      <c r="I65" s="400">
        <v>10000</v>
      </c>
      <c r="J65" s="429">
        <f t="shared" si="3"/>
        <v>100222.22222222222</v>
      </c>
    </row>
    <row r="66" spans="1:10" ht="16.5">
      <c r="A66" s="343"/>
      <c r="B66" s="10" t="s">
        <v>9</v>
      </c>
      <c r="C66" s="27"/>
      <c r="D66" s="117"/>
      <c r="E66" s="381"/>
      <c r="F66" s="392">
        <f t="shared" si="2"/>
        <v>0</v>
      </c>
      <c r="G66" s="400"/>
      <c r="H66" s="400">
        <f t="shared" si="4"/>
        <v>0</v>
      </c>
      <c r="I66" s="400"/>
      <c r="J66" s="429">
        <f t="shared" si="3"/>
        <v>0</v>
      </c>
    </row>
    <row r="67" spans="1:10" ht="16.5">
      <c r="A67" s="343"/>
      <c r="B67" s="10"/>
      <c r="C67" s="27"/>
      <c r="D67" s="117"/>
      <c r="E67" s="381"/>
      <c r="F67" s="392">
        <f t="shared" si="2"/>
        <v>0</v>
      </c>
      <c r="G67" s="400"/>
      <c r="H67" s="400">
        <f t="shared" si="4"/>
        <v>0</v>
      </c>
      <c r="I67" s="400"/>
      <c r="J67" s="429">
        <f t="shared" si="3"/>
        <v>0</v>
      </c>
    </row>
    <row r="68" spans="1:10" ht="19.5">
      <c r="A68" s="346">
        <v>2</v>
      </c>
      <c r="B68" s="484" t="s">
        <v>175</v>
      </c>
      <c r="C68" s="485"/>
      <c r="D68" s="485"/>
      <c r="E68" s="430"/>
      <c r="F68" s="392">
        <f t="shared" si="2"/>
        <v>0</v>
      </c>
      <c r="G68" s="400"/>
      <c r="H68" s="400">
        <f t="shared" si="4"/>
        <v>0</v>
      </c>
      <c r="I68" s="400"/>
      <c r="J68" s="429">
        <f t="shared" si="3"/>
        <v>0</v>
      </c>
    </row>
    <row r="69" spans="1:10" ht="22.5">
      <c r="A69" s="346"/>
      <c r="B69" s="488" t="s">
        <v>161</v>
      </c>
      <c r="C69" s="488"/>
      <c r="D69" s="488"/>
      <c r="E69" s="431"/>
      <c r="F69" s="392">
        <f t="shared" si="2"/>
        <v>0</v>
      </c>
      <c r="G69" s="400"/>
      <c r="H69" s="400">
        <f t="shared" si="4"/>
        <v>0</v>
      </c>
      <c r="I69" s="400"/>
      <c r="J69" s="429">
        <f t="shared" si="3"/>
        <v>0</v>
      </c>
    </row>
    <row r="70" spans="1:10" ht="20.45" customHeight="1">
      <c r="A70" s="347">
        <v>2.0099999999999998</v>
      </c>
      <c r="B70" s="2" t="s">
        <v>174</v>
      </c>
      <c r="C70" s="239" t="s">
        <v>1</v>
      </c>
      <c r="D70" s="274">
        <f>(22*6)+(5*6)</f>
        <v>162</v>
      </c>
      <c r="E70" s="380">
        <v>8182.4222222222215</v>
      </c>
      <c r="F70" s="398">
        <f t="shared" si="2"/>
        <v>1325552.3999999999</v>
      </c>
      <c r="G70" s="403"/>
      <c r="H70" s="367">
        <f>SUBTOTAL(9,H71:H80)</f>
        <v>4906732.4455205835</v>
      </c>
      <c r="I70" s="403">
        <v>12334.920634920634</v>
      </c>
      <c r="J70" s="415">
        <f t="shared" ref="J70:J101" si="5">D70*I70</f>
        <v>1998257.1428571427</v>
      </c>
    </row>
    <row r="71" spans="1:10" ht="19.5">
      <c r="A71" s="348"/>
      <c r="B71" s="93" t="s">
        <v>2</v>
      </c>
      <c r="C71" s="271"/>
      <c r="D71" s="275"/>
      <c r="E71" s="432"/>
      <c r="F71" s="392">
        <f t="shared" si="2"/>
        <v>0</v>
      </c>
      <c r="G71" s="400"/>
      <c r="H71" s="400">
        <f t="shared" si="4"/>
        <v>0</v>
      </c>
      <c r="I71" s="400"/>
      <c r="J71" s="429">
        <f t="shared" si="5"/>
        <v>0</v>
      </c>
    </row>
    <row r="72" spans="1:10" ht="19.5">
      <c r="A72" s="349"/>
      <c r="B72" s="94" t="s">
        <v>184</v>
      </c>
      <c r="C72" s="22" t="s">
        <v>1</v>
      </c>
      <c r="D72" s="113">
        <f>D70*1.15</f>
        <v>186.29999999999998</v>
      </c>
      <c r="E72" s="374">
        <v>1800</v>
      </c>
      <c r="F72" s="392">
        <f t="shared" si="2"/>
        <v>335339.99999999994</v>
      </c>
      <c r="G72" s="400">
        <v>13135.593220339</v>
      </c>
      <c r="H72" s="400">
        <f t="shared" ref="H72:H103" si="6">D72*G72</f>
        <v>2447161.0169491554</v>
      </c>
      <c r="I72" s="400">
        <v>6000</v>
      </c>
      <c r="J72" s="429">
        <f t="shared" si="5"/>
        <v>1117800</v>
      </c>
    </row>
    <row r="73" spans="1:10" ht="19.5">
      <c r="A73" s="349"/>
      <c r="B73" s="94" t="s">
        <v>86</v>
      </c>
      <c r="C73" s="22" t="s">
        <v>44</v>
      </c>
      <c r="D73" s="113">
        <f>648/3.5</f>
        <v>185.14285714285714</v>
      </c>
      <c r="E73" s="374">
        <v>3500</v>
      </c>
      <c r="F73" s="392">
        <f t="shared" ref="F73:F121" si="7">D73*E73</f>
        <v>648000</v>
      </c>
      <c r="G73" s="400">
        <v>4000</v>
      </c>
      <c r="H73" s="400">
        <f t="shared" si="6"/>
        <v>740571.42857142852</v>
      </c>
      <c r="I73" s="400">
        <v>3200</v>
      </c>
      <c r="J73" s="429">
        <f t="shared" si="5"/>
        <v>592457.14285714284</v>
      </c>
    </row>
    <row r="74" spans="1:10" ht="19.5">
      <c r="A74" s="349"/>
      <c r="B74" s="94" t="s">
        <v>87</v>
      </c>
      <c r="C74" s="22" t="s">
        <v>67</v>
      </c>
      <c r="D74" s="113">
        <f>D70*0.25</f>
        <v>40.5</v>
      </c>
      <c r="E74" s="395">
        <v>2300</v>
      </c>
      <c r="F74" s="392">
        <f t="shared" si="7"/>
        <v>93150</v>
      </c>
      <c r="G74" s="433">
        <v>22000</v>
      </c>
      <c r="H74" s="400">
        <f t="shared" si="6"/>
        <v>891000</v>
      </c>
      <c r="I74" s="269">
        <v>2000</v>
      </c>
      <c r="J74" s="429">
        <f t="shared" si="5"/>
        <v>81000</v>
      </c>
    </row>
    <row r="75" spans="1:10" ht="19.5">
      <c r="A75" s="325"/>
      <c r="B75" s="93" t="s">
        <v>125</v>
      </c>
      <c r="C75" s="27"/>
      <c r="D75" s="116"/>
      <c r="E75" s="381"/>
      <c r="F75" s="392">
        <f t="shared" si="7"/>
        <v>0</v>
      </c>
      <c r="G75" s="400"/>
      <c r="H75" s="400">
        <f t="shared" si="6"/>
        <v>0</v>
      </c>
      <c r="I75" s="400"/>
      <c r="J75" s="429">
        <f t="shared" si="5"/>
        <v>0</v>
      </c>
    </row>
    <row r="76" spans="1:10" ht="19.5">
      <c r="A76" s="350"/>
      <c r="B76" s="270"/>
      <c r="C76" s="64"/>
      <c r="D76" s="116"/>
      <c r="E76" s="396"/>
      <c r="F76" s="392">
        <f t="shared" si="7"/>
        <v>0</v>
      </c>
      <c r="G76" s="400"/>
      <c r="H76" s="400">
        <f t="shared" si="6"/>
        <v>0</v>
      </c>
      <c r="I76" s="400"/>
      <c r="J76" s="429">
        <f t="shared" si="5"/>
        <v>0</v>
      </c>
    </row>
    <row r="77" spans="1:10" ht="19.5">
      <c r="A77" s="350"/>
      <c r="B77" s="93" t="s">
        <v>6</v>
      </c>
      <c r="C77" s="271"/>
      <c r="D77" s="276"/>
      <c r="E77" s="432"/>
      <c r="F77" s="392">
        <f t="shared" si="7"/>
        <v>0</v>
      </c>
      <c r="G77" s="400"/>
      <c r="H77" s="400">
        <f t="shared" si="6"/>
        <v>0</v>
      </c>
      <c r="I77" s="400"/>
      <c r="J77" s="429">
        <f t="shared" si="5"/>
        <v>0</v>
      </c>
    </row>
    <row r="78" spans="1:10" ht="19.5">
      <c r="A78" s="350"/>
      <c r="B78" s="235" t="s">
        <v>7</v>
      </c>
      <c r="C78" s="236" t="s">
        <v>62</v>
      </c>
      <c r="D78" s="237">
        <f>D79*2</f>
        <v>82.8</v>
      </c>
      <c r="E78" s="374">
        <v>2500</v>
      </c>
      <c r="F78" s="392">
        <f t="shared" si="7"/>
        <v>207000</v>
      </c>
      <c r="G78" s="400">
        <v>4000</v>
      </c>
      <c r="H78" s="400">
        <f t="shared" si="6"/>
        <v>331200</v>
      </c>
      <c r="I78" s="400">
        <v>1500</v>
      </c>
      <c r="J78" s="429">
        <f t="shared" si="5"/>
        <v>124200</v>
      </c>
    </row>
    <row r="79" spans="1:10" ht="19.5">
      <c r="A79" s="348"/>
      <c r="B79" s="235" t="s">
        <v>173</v>
      </c>
      <c r="C79" s="236" t="s">
        <v>62</v>
      </c>
      <c r="D79" s="237">
        <f>D72/4.5</f>
        <v>41.4</v>
      </c>
      <c r="E79" s="374">
        <v>1016</v>
      </c>
      <c r="F79" s="392">
        <f t="shared" si="7"/>
        <v>42062.400000000001</v>
      </c>
      <c r="G79" s="400">
        <v>12000</v>
      </c>
      <c r="H79" s="400">
        <f t="shared" si="6"/>
        <v>496800</v>
      </c>
      <c r="I79" s="400">
        <v>2000</v>
      </c>
      <c r="J79" s="429">
        <f t="shared" si="5"/>
        <v>82800</v>
      </c>
    </row>
    <row r="80" spans="1:10" ht="19.5">
      <c r="A80" s="351"/>
      <c r="B80" s="93" t="s">
        <v>127</v>
      </c>
      <c r="C80" s="272"/>
      <c r="D80" s="276"/>
      <c r="E80" s="384"/>
      <c r="F80" s="392">
        <f t="shared" si="7"/>
        <v>0</v>
      </c>
      <c r="G80" s="400"/>
      <c r="H80" s="400">
        <f t="shared" si="6"/>
        <v>0</v>
      </c>
      <c r="I80" s="400"/>
      <c r="J80" s="429">
        <f t="shared" si="5"/>
        <v>0</v>
      </c>
    </row>
    <row r="81" spans="1:10" ht="22.5">
      <c r="A81" s="352"/>
      <c r="B81" s="489" t="s">
        <v>162</v>
      </c>
      <c r="C81" s="489"/>
      <c r="D81" s="489"/>
      <c r="E81" s="394"/>
      <c r="F81" s="392">
        <f t="shared" si="7"/>
        <v>0</v>
      </c>
      <c r="G81" s="400"/>
      <c r="H81" s="400">
        <f t="shared" si="6"/>
        <v>0</v>
      </c>
      <c r="I81" s="400"/>
      <c r="J81" s="429">
        <f t="shared" si="5"/>
        <v>0</v>
      </c>
    </row>
    <row r="82" spans="1:10" ht="20.45" customHeight="1">
      <c r="A82" s="347">
        <v>2.02</v>
      </c>
      <c r="B82" s="2" t="s">
        <v>174</v>
      </c>
      <c r="C82" s="239" t="s">
        <v>50</v>
      </c>
      <c r="D82" s="274">
        <f>13*8</f>
        <v>104</v>
      </c>
      <c r="E82" s="380">
        <v>7981.8888888888896</v>
      </c>
      <c r="F82" s="398">
        <f t="shared" si="7"/>
        <v>830116.4444444445</v>
      </c>
      <c r="G82" s="403"/>
      <c r="H82" s="367">
        <f>SUBTOTAL(9,H83:H92)</f>
        <v>1133633.0158730159</v>
      </c>
      <c r="I82" s="403">
        <v>12335.142857142859</v>
      </c>
      <c r="J82" s="415">
        <f t="shared" si="5"/>
        <v>1282854.8571428573</v>
      </c>
    </row>
    <row r="83" spans="1:10" ht="19.5">
      <c r="A83" s="348"/>
      <c r="B83" s="93" t="s">
        <v>2</v>
      </c>
      <c r="C83" s="271"/>
      <c r="D83" s="275"/>
      <c r="E83" s="432"/>
      <c r="F83" s="392">
        <f t="shared" si="7"/>
        <v>0</v>
      </c>
      <c r="G83" s="400"/>
      <c r="H83" s="400">
        <f t="shared" si="6"/>
        <v>0</v>
      </c>
      <c r="I83" s="400"/>
      <c r="J83" s="429">
        <f t="shared" si="5"/>
        <v>0</v>
      </c>
    </row>
    <row r="84" spans="1:10" ht="19.5">
      <c r="A84" s="349"/>
      <c r="B84" s="94" t="s">
        <v>172</v>
      </c>
      <c r="C84" s="22" t="s">
        <v>1</v>
      </c>
      <c r="D84" s="113">
        <f>D82*1.15</f>
        <v>119.6</v>
      </c>
      <c r="E84" s="374">
        <v>13135.593220338984</v>
      </c>
      <c r="F84" s="392">
        <f t="shared" si="7"/>
        <v>1571016.9491525425</v>
      </c>
      <c r="G84" s="400">
        <v>1400</v>
      </c>
      <c r="H84" s="400">
        <f t="shared" si="6"/>
        <v>167440</v>
      </c>
      <c r="I84" s="400">
        <v>6000</v>
      </c>
      <c r="J84" s="429">
        <f t="shared" si="5"/>
        <v>717600</v>
      </c>
    </row>
    <row r="85" spans="1:10" ht="19.5">
      <c r="A85" s="349"/>
      <c r="B85" s="94" t="s">
        <v>86</v>
      </c>
      <c r="C85" s="22" t="s">
        <v>44</v>
      </c>
      <c r="D85" s="113">
        <f>416/3.5</f>
        <v>118.85714285714286</v>
      </c>
      <c r="E85" s="374">
        <v>4000</v>
      </c>
      <c r="F85" s="392">
        <f t="shared" si="7"/>
        <v>475428.57142857142</v>
      </c>
      <c r="G85" s="400">
        <v>4000</v>
      </c>
      <c r="H85" s="400">
        <f t="shared" si="6"/>
        <v>475428.57142857142</v>
      </c>
      <c r="I85" s="400">
        <v>3200</v>
      </c>
      <c r="J85" s="429">
        <f t="shared" si="5"/>
        <v>380342.85714285716</v>
      </c>
    </row>
    <row r="86" spans="1:10" ht="19.5">
      <c r="A86" s="349"/>
      <c r="B86" s="94" t="s">
        <v>87</v>
      </c>
      <c r="C86" s="22" t="s">
        <v>67</v>
      </c>
      <c r="D86" s="113">
        <f>D82*0.25</f>
        <v>26</v>
      </c>
      <c r="E86" s="395">
        <v>1271.1864406779662</v>
      </c>
      <c r="F86" s="392">
        <f t="shared" si="7"/>
        <v>33050.847457627118</v>
      </c>
      <c r="G86" s="433">
        <v>2200</v>
      </c>
      <c r="H86" s="400">
        <f t="shared" si="6"/>
        <v>57200</v>
      </c>
      <c r="I86" s="269">
        <v>2000</v>
      </c>
      <c r="J86" s="429">
        <f t="shared" si="5"/>
        <v>52000</v>
      </c>
    </row>
    <row r="87" spans="1:10" ht="19.5">
      <c r="A87" s="325"/>
      <c r="B87" s="93" t="s">
        <v>125</v>
      </c>
      <c r="C87" s="27"/>
      <c r="D87" s="116"/>
      <c r="E87" s="381"/>
      <c r="F87" s="392">
        <f t="shared" si="7"/>
        <v>0</v>
      </c>
      <c r="G87" s="400"/>
      <c r="H87" s="400">
        <f t="shared" si="6"/>
        <v>0</v>
      </c>
      <c r="I87" s="400"/>
      <c r="J87" s="429">
        <f t="shared" si="5"/>
        <v>0</v>
      </c>
    </row>
    <row r="88" spans="1:10" ht="19.5">
      <c r="A88" s="350"/>
      <c r="B88" s="270"/>
      <c r="C88" s="64"/>
      <c r="D88" s="116"/>
      <c r="E88" s="396"/>
      <c r="F88" s="392">
        <f t="shared" si="7"/>
        <v>0</v>
      </c>
      <c r="G88" s="400"/>
      <c r="H88" s="400">
        <f t="shared" si="6"/>
        <v>0</v>
      </c>
      <c r="I88" s="400"/>
      <c r="J88" s="429">
        <f t="shared" si="5"/>
        <v>0</v>
      </c>
    </row>
    <row r="89" spans="1:10" ht="19.5">
      <c r="A89" s="350"/>
      <c r="B89" s="93" t="s">
        <v>6</v>
      </c>
      <c r="C89" s="271"/>
      <c r="D89" s="276"/>
      <c r="E89" s="432"/>
      <c r="F89" s="392">
        <f t="shared" si="7"/>
        <v>0</v>
      </c>
      <c r="G89" s="400"/>
      <c r="H89" s="400">
        <f t="shared" si="6"/>
        <v>0</v>
      </c>
      <c r="I89" s="400"/>
      <c r="J89" s="429">
        <f t="shared" si="5"/>
        <v>0</v>
      </c>
    </row>
    <row r="90" spans="1:10" ht="19.5">
      <c r="A90" s="350"/>
      <c r="B90" s="235" t="s">
        <v>7</v>
      </c>
      <c r="C90" s="236" t="s">
        <v>62</v>
      </c>
      <c r="D90" s="237">
        <f>D91*2</f>
        <v>46.222222222222221</v>
      </c>
      <c r="E90" s="374">
        <v>4000</v>
      </c>
      <c r="F90" s="392">
        <f t="shared" si="7"/>
        <v>184888.88888888888</v>
      </c>
      <c r="G90" s="400">
        <v>4000</v>
      </c>
      <c r="H90" s="400">
        <f t="shared" si="6"/>
        <v>184888.88888888888</v>
      </c>
      <c r="I90" s="400">
        <v>1500</v>
      </c>
      <c r="J90" s="429">
        <f t="shared" si="5"/>
        <v>69333.333333333328</v>
      </c>
    </row>
    <row r="91" spans="1:10" ht="19.5">
      <c r="A91" s="348"/>
      <c r="B91" s="235" t="s">
        <v>126</v>
      </c>
      <c r="C91" s="236" t="s">
        <v>62</v>
      </c>
      <c r="D91" s="237">
        <f>D82/4.5</f>
        <v>23.111111111111111</v>
      </c>
      <c r="E91" s="374">
        <v>10760</v>
      </c>
      <c r="F91" s="392">
        <f t="shared" si="7"/>
        <v>248675.55555555556</v>
      </c>
      <c r="G91" s="400">
        <v>10760</v>
      </c>
      <c r="H91" s="400">
        <f t="shared" si="6"/>
        <v>248675.55555555556</v>
      </c>
      <c r="I91" s="400">
        <v>2751</v>
      </c>
      <c r="J91" s="429">
        <f t="shared" si="5"/>
        <v>63578.666666666664</v>
      </c>
    </row>
    <row r="92" spans="1:10" ht="19.5">
      <c r="A92" s="351"/>
      <c r="B92" s="93" t="s">
        <v>127</v>
      </c>
      <c r="C92" s="272"/>
      <c r="D92" s="276"/>
      <c r="E92" s="384"/>
      <c r="F92" s="392">
        <f t="shared" si="7"/>
        <v>0</v>
      </c>
      <c r="G92" s="400"/>
      <c r="H92" s="400">
        <f t="shared" si="6"/>
        <v>0</v>
      </c>
      <c r="I92" s="400"/>
      <c r="J92" s="429">
        <f t="shared" si="5"/>
        <v>0</v>
      </c>
    </row>
    <row r="93" spans="1:10" ht="16.7" customHeight="1">
      <c r="A93" s="353"/>
      <c r="B93" s="354"/>
      <c r="C93" s="355"/>
      <c r="D93" s="356"/>
      <c r="E93" s="434"/>
      <c r="F93" s="392">
        <f t="shared" si="7"/>
        <v>0</v>
      </c>
      <c r="G93" s="400"/>
      <c r="H93" s="400">
        <f t="shared" si="6"/>
        <v>0</v>
      </c>
      <c r="I93" s="400"/>
      <c r="J93" s="429">
        <f t="shared" si="5"/>
        <v>0</v>
      </c>
    </row>
    <row r="94" spans="1:10" s="78" customFormat="1" ht="21" customHeight="1">
      <c r="A94" s="335">
        <v>3</v>
      </c>
      <c r="B94" s="486" t="s">
        <v>215</v>
      </c>
      <c r="C94" s="487"/>
      <c r="D94" s="487"/>
      <c r="E94" s="435"/>
      <c r="F94" s="392">
        <f t="shared" si="7"/>
        <v>0</v>
      </c>
      <c r="G94" s="413"/>
      <c r="H94" s="400">
        <f t="shared" si="6"/>
        <v>0</v>
      </c>
      <c r="I94" s="413"/>
      <c r="J94" s="429">
        <f t="shared" si="5"/>
        <v>0</v>
      </c>
    </row>
    <row r="95" spans="1:10" s="240" customFormat="1" ht="39">
      <c r="A95" s="336">
        <v>3.01</v>
      </c>
      <c r="B95" s="321" t="s">
        <v>198</v>
      </c>
      <c r="C95" s="328" t="s">
        <v>199</v>
      </c>
      <c r="D95" s="333">
        <f>250*0.05</f>
        <v>12.5</v>
      </c>
      <c r="E95" s="380">
        <v>26924.177966101695</v>
      </c>
      <c r="F95" s="398">
        <f t="shared" si="7"/>
        <v>336552.2245762712</v>
      </c>
      <c r="G95" s="415"/>
      <c r="H95" s="367">
        <f>SUBTOTAL(9,H96:H107)</f>
        <v>180708.33333333334</v>
      </c>
      <c r="I95" s="415">
        <v>25366.666666666672</v>
      </c>
      <c r="J95" s="415">
        <f t="shared" si="5"/>
        <v>317083.33333333337</v>
      </c>
    </row>
    <row r="96" spans="1:10" ht="19.5">
      <c r="A96" s="337"/>
      <c r="B96" s="317" t="s">
        <v>2</v>
      </c>
      <c r="C96" s="320"/>
      <c r="D96" s="330"/>
      <c r="E96" s="381"/>
      <c r="F96" s="392">
        <f t="shared" si="7"/>
        <v>0</v>
      </c>
      <c r="G96" s="400"/>
      <c r="H96" s="400">
        <f t="shared" si="6"/>
        <v>0</v>
      </c>
      <c r="I96" s="400"/>
      <c r="J96" s="429">
        <f t="shared" si="5"/>
        <v>0</v>
      </c>
    </row>
    <row r="97" spans="1:10" ht="19.5">
      <c r="A97" s="337"/>
      <c r="B97" s="318" t="s">
        <v>200</v>
      </c>
      <c r="C97" s="320" t="s">
        <v>16</v>
      </c>
      <c r="D97" s="330">
        <f>D102*20+D103*60+D104*15+D105*20+D106*60+D107*80</f>
        <v>10.458333333333334</v>
      </c>
      <c r="E97" s="374">
        <v>1363.5593220338983</v>
      </c>
      <c r="F97" s="392">
        <f t="shared" si="7"/>
        <v>14260.55790960452</v>
      </c>
      <c r="G97" s="400">
        <v>2000</v>
      </c>
      <c r="H97" s="400">
        <f t="shared" si="6"/>
        <v>20916.666666666668</v>
      </c>
      <c r="I97" s="400">
        <v>2000</v>
      </c>
      <c r="J97" s="429">
        <f t="shared" si="5"/>
        <v>20916.666666666668</v>
      </c>
    </row>
    <row r="98" spans="1:10" ht="19.5">
      <c r="A98" s="337"/>
      <c r="B98" s="318" t="s">
        <v>201</v>
      </c>
      <c r="C98" s="320" t="s">
        <v>10</v>
      </c>
      <c r="D98" s="330">
        <f>D95*1.3</f>
        <v>16.25</v>
      </c>
      <c r="E98" s="374">
        <v>2000</v>
      </c>
      <c r="F98" s="392">
        <f t="shared" si="7"/>
        <v>32500</v>
      </c>
      <c r="G98" s="400">
        <v>8000</v>
      </c>
      <c r="H98" s="400">
        <f t="shared" si="6"/>
        <v>130000</v>
      </c>
      <c r="I98" s="400">
        <v>16000</v>
      </c>
      <c r="J98" s="429">
        <f t="shared" si="5"/>
        <v>260000</v>
      </c>
    </row>
    <row r="99" spans="1:10" ht="19.5">
      <c r="A99" s="338"/>
      <c r="B99" s="317" t="s">
        <v>125</v>
      </c>
      <c r="C99" s="319"/>
      <c r="D99" s="331"/>
      <c r="E99" s="381"/>
      <c r="F99" s="392">
        <f t="shared" si="7"/>
        <v>0</v>
      </c>
      <c r="G99" s="400"/>
      <c r="H99" s="400">
        <f t="shared" si="6"/>
        <v>0</v>
      </c>
      <c r="I99" s="400"/>
      <c r="J99" s="429">
        <f t="shared" si="5"/>
        <v>0</v>
      </c>
    </row>
    <row r="100" spans="1:10" ht="19.5">
      <c r="A100" s="338"/>
      <c r="B100" s="317"/>
      <c r="C100" s="319"/>
      <c r="D100" s="331"/>
      <c r="E100" s="381"/>
      <c r="F100" s="392">
        <f t="shared" si="7"/>
        <v>0</v>
      </c>
      <c r="G100" s="400"/>
      <c r="H100" s="400">
        <f t="shared" si="6"/>
        <v>0</v>
      </c>
      <c r="I100" s="400"/>
      <c r="J100" s="429">
        <f t="shared" si="5"/>
        <v>0</v>
      </c>
    </row>
    <row r="101" spans="1:10" ht="19.5">
      <c r="A101" s="337"/>
      <c r="B101" s="317" t="s">
        <v>202</v>
      </c>
      <c r="C101" s="320"/>
      <c r="D101" s="330"/>
      <c r="E101" s="374"/>
      <c r="F101" s="392">
        <f t="shared" si="7"/>
        <v>0</v>
      </c>
      <c r="G101" s="400"/>
      <c r="H101" s="400">
        <f t="shared" si="6"/>
        <v>0</v>
      </c>
      <c r="I101" s="400"/>
      <c r="J101" s="429">
        <f t="shared" si="5"/>
        <v>0</v>
      </c>
    </row>
    <row r="102" spans="1:10" ht="19.5">
      <c r="A102" s="337"/>
      <c r="B102" s="318" t="s">
        <v>203</v>
      </c>
      <c r="C102" s="320" t="s">
        <v>204</v>
      </c>
      <c r="D102" s="330">
        <f>(D95/600)*8</f>
        <v>0.16666666666666666</v>
      </c>
      <c r="E102" s="374">
        <v>60000</v>
      </c>
      <c r="F102" s="392">
        <f t="shared" si="7"/>
        <v>10000</v>
      </c>
      <c r="G102" s="400">
        <v>60000</v>
      </c>
      <c r="H102" s="400">
        <f t="shared" si="6"/>
        <v>10000</v>
      </c>
      <c r="I102" s="400">
        <v>90000</v>
      </c>
      <c r="J102" s="429">
        <f t="shared" ref="J102:J121" si="8">D102*I102</f>
        <v>15000</v>
      </c>
    </row>
    <row r="103" spans="1:10" ht="19.5">
      <c r="A103" s="337"/>
      <c r="B103" s="318" t="s">
        <v>205</v>
      </c>
      <c r="C103" s="320" t="s">
        <v>21</v>
      </c>
      <c r="D103" s="330">
        <f>(D95/(15*6)/25)*10</f>
        <v>5.5555555555555559E-2</v>
      </c>
      <c r="E103" s="374">
        <v>153000</v>
      </c>
      <c r="F103" s="392">
        <f t="shared" si="7"/>
        <v>8500</v>
      </c>
      <c r="G103" s="400">
        <v>153000</v>
      </c>
      <c r="H103" s="400">
        <f t="shared" si="6"/>
        <v>8500</v>
      </c>
      <c r="I103" s="400">
        <v>90000</v>
      </c>
      <c r="J103" s="429">
        <f t="shared" si="8"/>
        <v>5000</v>
      </c>
    </row>
    <row r="104" spans="1:10" ht="19.5">
      <c r="A104" s="337"/>
      <c r="B104" s="318" t="s">
        <v>206</v>
      </c>
      <c r="C104" s="320" t="s">
        <v>204</v>
      </c>
      <c r="D104" s="330">
        <f>(D95/1500)*8</f>
        <v>6.6666666666666666E-2</v>
      </c>
      <c r="E104" s="374">
        <v>50000</v>
      </c>
      <c r="F104" s="392">
        <f t="shared" si="7"/>
        <v>3333.3333333333335</v>
      </c>
      <c r="G104" s="400">
        <v>50000</v>
      </c>
      <c r="H104" s="400">
        <f t="shared" ref="H104:H121" si="9">D104*G104</f>
        <v>3333.3333333333335</v>
      </c>
      <c r="I104" s="400">
        <v>90000</v>
      </c>
      <c r="J104" s="429">
        <f t="shared" si="8"/>
        <v>6000</v>
      </c>
    </row>
    <row r="105" spans="1:10" ht="19.5">
      <c r="A105" s="337"/>
      <c r="B105" s="318" t="s">
        <v>207</v>
      </c>
      <c r="C105" s="320" t="s">
        <v>204</v>
      </c>
      <c r="D105" s="330">
        <f>D104</f>
        <v>6.6666666666666666E-2</v>
      </c>
      <c r="E105" s="374">
        <v>60000</v>
      </c>
      <c r="F105" s="392">
        <f t="shared" si="7"/>
        <v>4000</v>
      </c>
      <c r="G105" s="400">
        <v>60000</v>
      </c>
      <c r="H105" s="400">
        <f t="shared" si="9"/>
        <v>4000</v>
      </c>
      <c r="I105" s="400">
        <v>90000</v>
      </c>
      <c r="J105" s="429">
        <f t="shared" si="8"/>
        <v>6000</v>
      </c>
    </row>
    <row r="106" spans="1:10" ht="19.5">
      <c r="A106" s="337"/>
      <c r="B106" s="318" t="s">
        <v>208</v>
      </c>
      <c r="C106" s="320" t="s">
        <v>21</v>
      </c>
      <c r="D106" s="330">
        <f>D95/(6000*0.2)</f>
        <v>1.0416666666666666E-2</v>
      </c>
      <c r="E106" s="374">
        <v>200000</v>
      </c>
      <c r="F106" s="392">
        <f t="shared" si="7"/>
        <v>2083.333333333333</v>
      </c>
      <c r="G106" s="400">
        <v>200000</v>
      </c>
      <c r="H106" s="400">
        <f t="shared" si="9"/>
        <v>2083.333333333333</v>
      </c>
      <c r="I106" s="400">
        <v>200000</v>
      </c>
      <c r="J106" s="429">
        <f t="shared" si="8"/>
        <v>2083.333333333333</v>
      </c>
    </row>
    <row r="107" spans="1:10" ht="19.5">
      <c r="A107" s="337"/>
      <c r="B107" s="318" t="s">
        <v>209</v>
      </c>
      <c r="C107" s="320" t="s">
        <v>21</v>
      </c>
      <c r="D107" s="330">
        <f>D106</f>
        <v>1.0416666666666666E-2</v>
      </c>
      <c r="E107" s="374">
        <v>180000</v>
      </c>
      <c r="F107" s="392">
        <f t="shared" si="7"/>
        <v>1875</v>
      </c>
      <c r="G107" s="400">
        <v>180000</v>
      </c>
      <c r="H107" s="400">
        <f t="shared" si="9"/>
        <v>1875</v>
      </c>
      <c r="I107" s="400">
        <v>200000</v>
      </c>
      <c r="J107" s="429">
        <f t="shared" si="8"/>
        <v>2083.333333333333</v>
      </c>
    </row>
    <row r="108" spans="1:10" ht="19.5">
      <c r="A108" s="338"/>
      <c r="B108" s="317" t="s">
        <v>210</v>
      </c>
      <c r="C108" s="319"/>
      <c r="D108" s="331"/>
      <c r="E108" s="381"/>
      <c r="F108" s="392">
        <f t="shared" si="7"/>
        <v>0</v>
      </c>
      <c r="G108" s="400"/>
      <c r="H108" s="400">
        <f t="shared" si="9"/>
        <v>0</v>
      </c>
      <c r="I108" s="400"/>
      <c r="J108" s="429">
        <f t="shared" si="8"/>
        <v>0</v>
      </c>
    </row>
    <row r="109" spans="1:10" s="322" customFormat="1" ht="19.5">
      <c r="A109" s="326">
        <v>3.02</v>
      </c>
      <c r="B109" s="321" t="s">
        <v>214</v>
      </c>
      <c r="C109" s="328" t="s">
        <v>211</v>
      </c>
      <c r="D109" s="329">
        <f>250</f>
        <v>250</v>
      </c>
      <c r="E109" s="380">
        <v>18699.367039548022</v>
      </c>
      <c r="F109" s="398">
        <f t="shared" si="7"/>
        <v>4674841.7598870052</v>
      </c>
      <c r="G109" s="436">
        <v>0</v>
      </c>
      <c r="H109" s="367">
        <f>SUBTOTAL(9,H110:H121)</f>
        <v>6134435.333333333</v>
      </c>
      <c r="I109" s="436">
        <v>20192.994350282483</v>
      </c>
      <c r="J109" s="415">
        <f t="shared" si="8"/>
        <v>5048248.5875706207</v>
      </c>
    </row>
    <row r="110" spans="1:10" ht="16.5">
      <c r="A110" s="353"/>
      <c r="B110" s="317" t="s">
        <v>2</v>
      </c>
      <c r="C110" s="320"/>
      <c r="D110" s="330"/>
      <c r="E110" s="381"/>
      <c r="F110" s="392">
        <f t="shared" si="7"/>
        <v>0</v>
      </c>
      <c r="G110" s="400"/>
      <c r="H110" s="400">
        <f t="shared" si="9"/>
        <v>0</v>
      </c>
      <c r="I110" s="400"/>
      <c r="J110" s="429">
        <f t="shared" si="8"/>
        <v>0</v>
      </c>
    </row>
    <row r="111" spans="1:10" ht="15.75">
      <c r="A111" s="353"/>
      <c r="B111" s="318" t="s">
        <v>200</v>
      </c>
      <c r="C111" s="320" t="s">
        <v>16</v>
      </c>
      <c r="D111" s="330">
        <f>D116*145</f>
        <v>132.91666666666666</v>
      </c>
      <c r="E111" s="374">
        <v>1363.5593220338983</v>
      </c>
      <c r="F111" s="392">
        <f t="shared" si="7"/>
        <v>181239.75988700564</v>
      </c>
      <c r="G111" s="400">
        <v>2000</v>
      </c>
      <c r="H111" s="400">
        <f t="shared" si="9"/>
        <v>265833.33333333331</v>
      </c>
      <c r="I111" s="400">
        <v>2000</v>
      </c>
      <c r="J111" s="429">
        <f t="shared" si="8"/>
        <v>265833.33333333331</v>
      </c>
    </row>
    <row r="112" spans="1:10" ht="15.75">
      <c r="A112" s="353"/>
      <c r="B112" s="318" t="s">
        <v>212</v>
      </c>
      <c r="C112" s="320" t="s">
        <v>85</v>
      </c>
      <c r="D112" s="330">
        <f>D109*55</f>
        <v>13750</v>
      </c>
      <c r="E112" s="374">
        <v>300</v>
      </c>
      <c r="F112" s="392">
        <f t="shared" si="7"/>
        <v>4125000</v>
      </c>
      <c r="G112" s="400">
        <v>400</v>
      </c>
      <c r="H112" s="400">
        <f t="shared" si="9"/>
        <v>5500000</v>
      </c>
      <c r="I112" s="400">
        <v>305.08474576271186</v>
      </c>
      <c r="J112" s="429">
        <f t="shared" si="8"/>
        <v>4194915.2542372877</v>
      </c>
    </row>
    <row r="113" spans="1:10" ht="16.5">
      <c r="A113" s="353"/>
      <c r="B113" s="317" t="s">
        <v>125</v>
      </c>
      <c r="C113" s="319"/>
      <c r="D113" s="331"/>
      <c r="E113" s="381"/>
      <c r="F113" s="392">
        <f t="shared" si="7"/>
        <v>0</v>
      </c>
      <c r="G113" s="400"/>
      <c r="H113" s="400">
        <f t="shared" si="9"/>
        <v>0</v>
      </c>
      <c r="I113" s="400"/>
      <c r="J113" s="429">
        <f t="shared" si="8"/>
        <v>0</v>
      </c>
    </row>
    <row r="114" spans="1:10" ht="16.5">
      <c r="A114" s="353"/>
      <c r="B114" s="318"/>
      <c r="C114" s="320"/>
      <c r="D114" s="330"/>
      <c r="E114" s="381"/>
      <c r="F114" s="392">
        <f t="shared" si="7"/>
        <v>0</v>
      </c>
      <c r="G114" s="400"/>
      <c r="H114" s="400">
        <f t="shared" si="9"/>
        <v>0</v>
      </c>
      <c r="I114" s="400"/>
      <c r="J114" s="429">
        <f t="shared" si="8"/>
        <v>0</v>
      </c>
    </row>
    <row r="115" spans="1:10" ht="16.5">
      <c r="A115" s="353"/>
      <c r="B115" s="317" t="s">
        <v>202</v>
      </c>
      <c r="C115" s="320"/>
      <c r="D115" s="330"/>
      <c r="E115" s="381"/>
      <c r="F115" s="392">
        <f t="shared" si="7"/>
        <v>0</v>
      </c>
      <c r="G115" s="400"/>
      <c r="H115" s="400">
        <f t="shared" si="9"/>
        <v>0</v>
      </c>
      <c r="I115" s="400"/>
      <c r="J115" s="429">
        <f t="shared" si="8"/>
        <v>0</v>
      </c>
    </row>
    <row r="116" spans="1:10" ht="15.75">
      <c r="A116" s="353"/>
      <c r="B116" s="318" t="s">
        <v>213</v>
      </c>
      <c r="C116" s="320" t="s">
        <v>21</v>
      </c>
      <c r="D116" s="330">
        <f>D112/15000</f>
        <v>0.91666666666666663</v>
      </c>
      <c r="E116" s="374">
        <v>153000</v>
      </c>
      <c r="F116" s="392">
        <f t="shared" si="7"/>
        <v>140250</v>
      </c>
      <c r="G116" s="400">
        <v>153000</v>
      </c>
      <c r="H116" s="400">
        <f t="shared" si="9"/>
        <v>140250</v>
      </c>
      <c r="I116" s="400">
        <v>150000</v>
      </c>
      <c r="J116" s="429">
        <f t="shared" si="8"/>
        <v>137500</v>
      </c>
    </row>
    <row r="117" spans="1:10" ht="16.5">
      <c r="A117" s="353"/>
      <c r="B117" s="317" t="s">
        <v>210</v>
      </c>
      <c r="C117" s="319"/>
      <c r="D117" s="331"/>
      <c r="E117" s="381"/>
      <c r="F117" s="392">
        <f t="shared" si="7"/>
        <v>0</v>
      </c>
      <c r="G117" s="400"/>
      <c r="H117" s="400">
        <f t="shared" si="9"/>
        <v>0</v>
      </c>
      <c r="I117" s="400"/>
      <c r="J117" s="429">
        <f t="shared" si="8"/>
        <v>0</v>
      </c>
    </row>
    <row r="118" spans="1:10" ht="16.5">
      <c r="A118" s="353"/>
      <c r="B118" s="318"/>
      <c r="C118" s="320"/>
      <c r="D118" s="330"/>
      <c r="E118" s="381"/>
      <c r="F118" s="392">
        <f t="shared" si="7"/>
        <v>0</v>
      </c>
      <c r="G118" s="400"/>
      <c r="H118" s="400">
        <f t="shared" si="9"/>
        <v>0</v>
      </c>
      <c r="I118" s="400"/>
      <c r="J118" s="429">
        <f t="shared" si="8"/>
        <v>0</v>
      </c>
    </row>
    <row r="119" spans="1:10" ht="16.5">
      <c r="A119" s="353"/>
      <c r="B119" s="317" t="s">
        <v>6</v>
      </c>
      <c r="C119" s="320"/>
      <c r="D119" s="330"/>
      <c r="E119" s="381"/>
      <c r="F119" s="392">
        <f t="shared" si="7"/>
        <v>0</v>
      </c>
      <c r="G119" s="400"/>
      <c r="H119" s="400">
        <f t="shared" si="9"/>
        <v>0</v>
      </c>
      <c r="I119" s="400"/>
      <c r="J119" s="429">
        <f t="shared" si="8"/>
        <v>0</v>
      </c>
    </row>
    <row r="120" spans="1:10" ht="15.75">
      <c r="A120" s="353"/>
      <c r="B120" s="318" t="s">
        <v>24</v>
      </c>
      <c r="C120" s="320" t="s">
        <v>21</v>
      </c>
      <c r="D120" s="330">
        <f>D109/10</f>
        <v>25</v>
      </c>
      <c r="E120" s="374">
        <v>6088.08</v>
      </c>
      <c r="F120" s="392">
        <f t="shared" si="7"/>
        <v>152202</v>
      </c>
      <c r="G120" s="400">
        <v>6088.08</v>
      </c>
      <c r="H120" s="400">
        <f t="shared" si="9"/>
        <v>152202</v>
      </c>
      <c r="I120" s="400">
        <v>12000</v>
      </c>
      <c r="J120" s="429">
        <f t="shared" si="8"/>
        <v>300000</v>
      </c>
    </row>
    <row r="121" spans="1:10" ht="15.75">
      <c r="A121" s="353"/>
      <c r="B121" s="318" t="s">
        <v>25</v>
      </c>
      <c r="C121" s="320" t="s">
        <v>21</v>
      </c>
      <c r="D121" s="330">
        <f>D120</f>
        <v>25</v>
      </c>
      <c r="E121" s="374">
        <v>3046</v>
      </c>
      <c r="F121" s="392">
        <f t="shared" si="7"/>
        <v>76150</v>
      </c>
      <c r="G121" s="400">
        <v>3046</v>
      </c>
      <c r="H121" s="400">
        <f t="shared" si="9"/>
        <v>76150</v>
      </c>
      <c r="I121" s="400">
        <v>6000</v>
      </c>
      <c r="J121" s="429">
        <f t="shared" si="8"/>
        <v>150000</v>
      </c>
    </row>
    <row r="122" spans="1:10" ht="16.5">
      <c r="A122" s="357"/>
      <c r="B122" s="358" t="s">
        <v>78</v>
      </c>
      <c r="C122" s="359"/>
      <c r="D122" s="360"/>
      <c r="E122" s="381"/>
      <c r="F122" s="381"/>
      <c r="G122" s="400"/>
      <c r="H122" s="400"/>
      <c r="I122" s="400"/>
      <c r="J122" s="400"/>
    </row>
    <row r="123" spans="1:10" ht="15.75">
      <c r="B123" s="314"/>
      <c r="C123" s="315"/>
      <c r="D123" s="332"/>
      <c r="E123" s="316"/>
      <c r="F123" s="443">
        <f>F6+F16+F37+F47+F70+F82+F95+F109</f>
        <v>15686464.081685498</v>
      </c>
      <c r="G123" s="86"/>
      <c r="H123" s="444">
        <f>H6+H16+H37+H47+H70+H82+H95+H109</f>
        <v>20093051.391949154</v>
      </c>
      <c r="I123" s="86"/>
      <c r="J123" s="444">
        <f>J6+J16+J37+J47+J70+J82+J95+J109</f>
        <v>18336585.023681734</v>
      </c>
    </row>
    <row r="124" spans="1:10">
      <c r="B124" s="314"/>
      <c r="C124" s="315"/>
      <c r="D124" s="332"/>
      <c r="E124" s="316"/>
      <c r="F124" s="316"/>
      <c r="G124" s="84"/>
    </row>
    <row r="125" spans="1:10">
      <c r="B125" s="314"/>
      <c r="C125" s="315"/>
      <c r="D125" s="332"/>
      <c r="E125" s="316"/>
      <c r="F125" s="316"/>
      <c r="G125" s="84"/>
    </row>
    <row r="126" spans="1:10">
      <c r="B126" s="314"/>
      <c r="C126" s="315"/>
      <c r="D126" s="332"/>
      <c r="E126" s="316"/>
      <c r="F126" s="316"/>
      <c r="G126" s="84"/>
    </row>
    <row r="127" spans="1:10">
      <c r="B127" s="314"/>
      <c r="C127" s="315"/>
      <c r="D127" s="332"/>
      <c r="E127" s="316"/>
      <c r="F127" s="316"/>
      <c r="G127" s="84"/>
    </row>
    <row r="128" spans="1:10">
      <c r="B128" s="314"/>
      <c r="C128" s="315"/>
      <c r="D128" s="332"/>
      <c r="E128" s="316"/>
      <c r="F128" s="316"/>
      <c r="G128" s="84"/>
    </row>
  </sheetData>
  <mergeCells count="10">
    <mergeCell ref="B94:D94"/>
    <mergeCell ref="B5:D5"/>
    <mergeCell ref="B36:D36"/>
    <mergeCell ref="B69:D69"/>
    <mergeCell ref="B81:D81"/>
    <mergeCell ref="G2:H2"/>
    <mergeCell ref="I2:J2"/>
    <mergeCell ref="B4:D4"/>
    <mergeCell ref="B68:D68"/>
    <mergeCell ref="E2:F2"/>
  </mergeCells>
  <pageMargins left="0.7" right="0.7" top="0.75" bottom="0.75" header="0.3" footer="0.3"/>
  <ignoredErrors>
    <ignoredError sqref="D10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7"/>
  <sheetViews>
    <sheetView workbookViewId="0">
      <selection activeCell="J11" sqref="J11"/>
    </sheetView>
  </sheetViews>
  <sheetFormatPr defaultColWidth="8.85546875" defaultRowHeight="15"/>
  <cols>
    <col min="1" max="1" width="4.85546875" customWidth="1"/>
    <col min="2" max="2" width="23.42578125" customWidth="1"/>
    <col min="4" max="4" width="12.42578125" style="268" customWidth="1"/>
    <col min="5" max="5" width="20" customWidth="1"/>
    <col min="6" max="6" width="20.140625" style="268" customWidth="1"/>
  </cols>
  <sheetData>
    <row r="1" spans="1:6" s="300" customFormat="1" ht="33">
      <c r="B1" s="490" t="s">
        <v>187</v>
      </c>
      <c r="C1" s="490"/>
      <c r="D1" s="490"/>
      <c r="E1" s="490"/>
      <c r="F1" s="490"/>
    </row>
    <row r="2" spans="1:6" s="137" customFormat="1" ht="22.5">
      <c r="B2" s="311" t="s">
        <v>195</v>
      </c>
      <c r="C2" s="311" t="s">
        <v>121</v>
      </c>
      <c r="D2" s="311" t="s">
        <v>122</v>
      </c>
      <c r="E2" s="311" t="s">
        <v>196</v>
      </c>
      <c r="F2" s="311" t="s">
        <v>197</v>
      </c>
    </row>
    <row r="3" spans="1:6" ht="21" customHeight="1">
      <c r="A3" s="286">
        <v>1</v>
      </c>
      <c r="B3" s="287" t="s">
        <v>183</v>
      </c>
      <c r="C3" s="288" t="s">
        <v>10</v>
      </c>
      <c r="D3" s="308">
        <f>'ECD Classes'!D47+'ECD Classes'!D65+'ECD Classes'!D224+'Office space'!D224+'Office space'!D200+'ECD Classes'!D200+'Office space'!D47+'Office space'!D65+'Sleeping Area'!D47+'Sleeping Area'!D65+'Sleeping Area'!D202+'Sleeping Area'!D226+'Dining Area'!D47+'Dining Area'!D65+'Dining Area'!D200+'Dining Area'!D224+'Toilet &amp; Bathroom'!D47+'Toilet &amp; Bathroom'!D65+'Toilet &amp; Bathroom'!D200+'Toilet &amp; Bathroom'!D224+'Stock &amp; Kitchen'!D47+'Stock &amp; Kitchen'!D65+'Stock &amp; Kitchen'!D201+'Stock &amp; Kitchen'!D225</f>
        <v>22.898311978021983</v>
      </c>
      <c r="E3" s="289"/>
      <c r="F3" s="286"/>
    </row>
    <row r="4" spans="1:6" ht="21" customHeight="1">
      <c r="A4" s="286">
        <v>2</v>
      </c>
      <c r="B4" s="287" t="s">
        <v>182</v>
      </c>
      <c r="C4" s="288" t="s">
        <v>12</v>
      </c>
      <c r="D4" s="308">
        <f>'ECD Classes'!D45+'ECD Classes'!D63+'ECD Classes'!D187+'ECD Classes'!D202+'ECD Classes'!D222+'ECD Classes'!D239+'ECD Classes'!D165+'ECD Classes'!D251+'ECD Classes'!D279+'Office space'!D279+'Office space'!D251+'Office space'!D239+'Office space'!D222+'Office space'!D202+'Office space'!D187+'Office space'!D165+'Office space'!D63+'Office space'!D45+'Sleeping Area'!D281+'Sleeping Area'!D253+'Sleeping Area'!D241+'Sleeping Area'!D224+'Sleeping Area'!D204+'Sleeping Area'!D189+'Sleeping Area'!D165+'Sleeping Area'!D63+'Sleeping Area'!D45+'Dining Area'!D279+'Dining Area'!D251+'Dining Area'!D239+'Dining Area'!D222+'Dining Area'!D202+'Dining Area'!D187+'Dining Area'!D165+'Dining Area'!D63+'Dining Area'!D45+'Toilet &amp; Bathroom'!D280+'Toilet &amp; Bathroom'!D251+'Toilet &amp; Bathroom'!D239+'Toilet &amp; Bathroom'!D222+'Toilet &amp; Bathroom'!D202+'Toilet &amp; Bathroom'!D187+'Toilet &amp; Bathroom'!D165+'Toilet &amp; Bathroom'!D63+'Toilet &amp; Bathroom'!D45+'Stock &amp; Kitchen'!D281+'Stock &amp; Kitchen'!D252+'Stock &amp; Kitchen'!D240+'Stock &amp; Kitchen'!D223+'Stock &amp; Kitchen'!D203+'Stock &amp; Kitchen'!D188+'Stock &amp; Kitchen'!D165+'Stock &amp; Kitchen'!D63+'Stock &amp; Kitchen'!D45</f>
        <v>555.47284330578009</v>
      </c>
      <c r="E4" s="290"/>
      <c r="F4" s="286"/>
    </row>
    <row r="5" spans="1:6" ht="15.75">
      <c r="A5" s="286">
        <v>3</v>
      </c>
      <c r="B5" s="235" t="s">
        <v>142</v>
      </c>
      <c r="C5" s="236" t="s">
        <v>1</v>
      </c>
      <c r="D5" s="277">
        <f>'Roofing&amp; Ceiling&amp;Paver'!D39+'Roofing&amp; Ceiling&amp;Paver'!D8</f>
        <v>294.14225000000005</v>
      </c>
      <c r="E5" s="267"/>
      <c r="F5" s="267"/>
    </row>
    <row r="6" spans="1:6" ht="21" customHeight="1">
      <c r="A6" s="286">
        <v>4</v>
      </c>
      <c r="B6" s="287" t="s">
        <v>13</v>
      </c>
      <c r="C6" s="288" t="s">
        <v>10</v>
      </c>
      <c r="D6" s="308">
        <f>'ECD Classes'!D46+'ECD Classes'!D64+'ECD Classes'!D166+'ECD Classes'!D188+'ECD Classes'!D201+'ECD Classes'!D223+'ECD Classes'!D252+'ECD Classes'!D280+'Office space'!D46+'Office space'!D64+'Office space'!D166+'Office space'!D188+'Office space'!D201+'Office space'!D223+'Office space'!D252+'Office space'!D280+'Sleeping Area'!D46+'Sleeping Area'!D64+'Sleeping Area'!D166+'Sleeping Area'!D190+'Sleeping Area'!D203+'Sleeping Area'!D225+'Sleeping Area'!D242+'Sleeping Area'!D254+'Sleeping Area'!D282+'Dining Area'!D46+'Dining Area'!D64+'Dining Area'!D166+'Dining Area'!D188+'Dining Area'!D201+'Dining Area'!D223+'Dining Area'!D252+'Dining Area'!D280+'Toilet &amp; Bathroom'!D46+'Toilet &amp; Bathroom'!D64+'Toilet &amp; Bathroom'!D166+'Toilet &amp; Bathroom'!D188+'Toilet &amp; Bathroom'!D201+'Toilet &amp; Bathroom'!D223+'Toilet &amp; Bathroom'!D252+'Toilet &amp; Bathroom'!D281+'Stock &amp; Kitchen'!D46+'Stock &amp; Kitchen'!D64+'Stock &amp; Kitchen'!D166+'Stock &amp; Kitchen'!D189+'Stock &amp; Kitchen'!D202+'Stock &amp; Kitchen'!D224+'Stock &amp; Kitchen'!D253+'Stock &amp; Kitchen'!D282</f>
        <v>86.274546170389186</v>
      </c>
      <c r="E6" s="289"/>
      <c r="F6" s="286"/>
    </row>
    <row r="7" spans="1:6" ht="21" customHeight="1">
      <c r="A7" s="286">
        <v>5</v>
      </c>
      <c r="B7" s="287" t="s">
        <v>188</v>
      </c>
      <c r="C7" s="288" t="s">
        <v>10</v>
      </c>
      <c r="D7" s="308">
        <v>20</v>
      </c>
      <c r="E7" s="289"/>
      <c r="F7" s="286"/>
    </row>
    <row r="8" spans="1:6" ht="21" customHeight="1">
      <c r="A8" s="286">
        <v>6</v>
      </c>
      <c r="B8" s="287" t="s">
        <v>84</v>
      </c>
      <c r="C8" s="288" t="s">
        <v>85</v>
      </c>
      <c r="D8" s="308">
        <f>'ECD Classes'!D82+'ECD Classes'!D93+'ECD Classes'!D104+'Office space'!D82+'Office space'!D93+'Office space'!D104+'Sleeping Area'!D82+'Sleeping Area'!D93+'Sleeping Area'!D104+'Dining Area'!D82+'Dining Area'!D93+'Dining Area'!D104+'Toilet &amp; Bathroom'!D82+'Toilet &amp; Bathroom'!D93+'Toilet &amp; Bathroom'!D104+'Stock &amp; Kitchen'!D82+'Stock &amp; Kitchen'!D93+'Stock &amp; Kitchen'!D104</f>
        <v>31.552083333333332</v>
      </c>
      <c r="E8" s="241"/>
      <c r="F8" s="286"/>
    </row>
    <row r="9" spans="1:6" ht="21" customHeight="1">
      <c r="A9" s="286">
        <v>7</v>
      </c>
      <c r="B9" s="287" t="s">
        <v>86</v>
      </c>
      <c r="C9" s="288" t="s">
        <v>85</v>
      </c>
      <c r="D9" s="308">
        <f>'ECD Classes'!D83+'ECD Classes'!D94+'ECD Classes'!D105+'Office space'!D105+'Office space'!D94+'Office space'!D83+'Sleeping Area'!D105+'Sleeping Area'!D94+'Sleeping Area'!D83+'Dining Area'!D94+'Dining Area'!D83+'Dining Area'!D105+'Toilet &amp; Bathroom'!D83+'Toilet &amp; Bathroom'!D94+'Toilet &amp; Bathroom'!D105+'Stock &amp; Kitchen'!D83+'Stock &amp; Kitchen'!D94+'Stock &amp; Kitchen'!D105+'Roofing&amp; Ceiling&amp;Paver'!D85+'Roofing&amp; Ceiling&amp;Paver'!D73</f>
        <v>576.6099999999999</v>
      </c>
      <c r="E9" s="289"/>
      <c r="F9" s="286"/>
    </row>
    <row r="10" spans="1:6" ht="21" customHeight="1">
      <c r="A10" s="286">
        <v>8</v>
      </c>
      <c r="B10" s="287" t="s">
        <v>87</v>
      </c>
      <c r="C10" s="288" t="s">
        <v>88</v>
      </c>
      <c r="D10" s="308">
        <f>'Roofing&amp; Ceiling&amp;Paver'!D74+'Roofing&amp; Ceiling&amp;Paver'!D86+'Stock &amp; Kitchen'!D95+'Stock &amp; Kitchen'!D106+'Stock &amp; Kitchen'!D84+'Toilet &amp; Bathroom'!D105+'Toilet &amp; Bathroom'!D95+'Toilet &amp; Bathroom'!D84+'Dining Area'!D106+'Dining Area'!D95+'Dining Area'!D84+'Sleeping Area'!D84+'Sleeping Area'!D95+'Sleeping Area'!D106+'Office space'!D95+'Office space'!D84+'Office space'!D106+'ECD Classes'!D106+'ECD Classes'!D95+'ECD Classes'!D84</f>
        <v>121.235</v>
      </c>
      <c r="E10" s="289"/>
      <c r="F10" s="286"/>
    </row>
    <row r="11" spans="1:6" ht="21" customHeight="1">
      <c r="A11" s="286">
        <v>9</v>
      </c>
      <c r="B11" s="20" t="s">
        <v>106</v>
      </c>
      <c r="C11" s="22" t="s">
        <v>88</v>
      </c>
      <c r="D11" s="136">
        <f>'Stock &amp; Kitchen'!D117+'Toilet &amp; Bathroom'!D116+'Dining Area'!D116+'Sleeping Area'!D116+'Office space'!D116+'ECD Classes'!D116</f>
        <v>1008.06655</v>
      </c>
      <c r="E11" s="241"/>
      <c r="F11" s="286"/>
    </row>
    <row r="12" spans="1:6" ht="21" customHeight="1">
      <c r="A12" s="286">
        <v>10</v>
      </c>
      <c r="B12" s="287" t="s">
        <v>107</v>
      </c>
      <c r="C12" s="288" t="s">
        <v>88</v>
      </c>
      <c r="D12" s="308">
        <f>'Stock &amp; Kitchen'!D117+'Toilet &amp; Bathroom'!D117+'Dining Area'!D117+'Sleeping Area'!D117+'Office space'!D117+'ECD Classes'!D117</f>
        <v>27.3247</v>
      </c>
      <c r="E12" s="289"/>
      <c r="F12" s="286"/>
    </row>
    <row r="13" spans="1:6" ht="21" customHeight="1">
      <c r="A13" s="286">
        <v>11</v>
      </c>
      <c r="B13" s="287" t="s">
        <v>150</v>
      </c>
      <c r="C13" s="288" t="s">
        <v>149</v>
      </c>
      <c r="D13" s="308">
        <f>'Roofing&amp; Ceiling&amp;Paver'!D50+'Roofing&amp; Ceiling&amp;Paver'!D19</f>
        <v>35.033333333333331</v>
      </c>
      <c r="E13" s="289"/>
      <c r="F13" s="286"/>
    </row>
    <row r="14" spans="1:6" ht="21" customHeight="1">
      <c r="A14" s="286">
        <v>12</v>
      </c>
      <c r="B14" s="287" t="s">
        <v>151</v>
      </c>
      <c r="C14" s="288" t="s">
        <v>152</v>
      </c>
      <c r="D14" s="308">
        <f>'Roofing&amp; Ceiling&amp;Paver'!D51+'Roofing&amp; Ceiling&amp;Paver'!D20</f>
        <v>7.0066666666666659</v>
      </c>
      <c r="E14" s="289"/>
      <c r="F14" s="286"/>
    </row>
    <row r="15" spans="1:6" ht="21" customHeight="1">
      <c r="A15" s="286">
        <v>13</v>
      </c>
      <c r="B15" s="287" t="s">
        <v>153</v>
      </c>
      <c r="C15" s="288" t="s">
        <v>4</v>
      </c>
      <c r="D15" s="308">
        <f>'Roofing&amp; Ceiling&amp;Paver'!D52+'Roofing&amp; Ceiling&amp;Paver'!D21</f>
        <v>35.033333333333331</v>
      </c>
      <c r="E15" s="289"/>
      <c r="F15" s="286"/>
    </row>
    <row r="16" spans="1:6" ht="21" customHeight="1">
      <c r="A16" s="286">
        <v>14</v>
      </c>
      <c r="B16" s="287" t="s">
        <v>154</v>
      </c>
      <c r="C16" s="288" t="s">
        <v>4</v>
      </c>
      <c r="D16" s="308">
        <f>'Roofing&amp; Ceiling&amp;Paver'!D22+'Roofing&amp; Ceiling&amp;Paver'!D53</f>
        <v>35.033333333333331</v>
      </c>
      <c r="E16" s="289"/>
      <c r="F16" s="286"/>
    </row>
    <row r="17" spans="1:6" ht="21" customHeight="1">
      <c r="A17" s="286">
        <v>15</v>
      </c>
      <c r="B17" s="287" t="s">
        <v>155</v>
      </c>
      <c r="C17" s="288" t="s">
        <v>4</v>
      </c>
      <c r="D17" s="308">
        <f>'Roofing&amp; Ceiling&amp;Paver'!D54+'Roofing&amp; Ceiling&amp;Paver'!D23</f>
        <v>87.583333333333329</v>
      </c>
      <c r="E17" s="289"/>
      <c r="F17" s="286"/>
    </row>
    <row r="18" spans="1:6" ht="21" customHeight="1">
      <c r="A18" s="286">
        <v>16</v>
      </c>
      <c r="B18" s="287" t="s">
        <v>156</v>
      </c>
      <c r="C18" s="288" t="s">
        <v>44</v>
      </c>
      <c r="D18" s="308">
        <f>'Roofing&amp; Ceiling&amp;Paver'!D24+'Roofing&amp; Ceiling&amp;Paver'!D55</f>
        <v>5.8388888888888886</v>
      </c>
      <c r="E18" s="289"/>
      <c r="F18" s="286"/>
    </row>
    <row r="19" spans="1:6" ht="21" customHeight="1">
      <c r="A19" s="286">
        <v>17</v>
      </c>
      <c r="B19" s="287" t="s">
        <v>178</v>
      </c>
      <c r="C19" s="288" t="s">
        <v>44</v>
      </c>
      <c r="D19" s="308">
        <f>'ECD Classes'!D189+'Office space'!D189+'Sleeping Area'!D191+'Dining Area'!D189+'Toilet &amp; Bathroom'!D189+'Stock &amp; Kitchen'!D190</f>
        <v>51637.156816390867</v>
      </c>
      <c r="E19" s="287"/>
      <c r="F19" s="286"/>
    </row>
    <row r="20" spans="1:6" ht="21" customHeight="1">
      <c r="A20" s="286">
        <v>18</v>
      </c>
      <c r="B20" s="291" t="s">
        <v>179</v>
      </c>
      <c r="C20" s="292" t="s">
        <v>180</v>
      </c>
      <c r="D20" s="308">
        <f>'Stock &amp; Kitchen'!D267+'Toilet &amp; Bathroom'!D266+'Dining Area'!D265+'Sleeping Area'!D267+'Office space'!D265+'ECD Classes'!D265+'Stock &amp; Kitchen'!D299+'Toilet &amp; Bathroom'!D298+'Dining Area'!D297+'Sleeping Area'!D299+'Office space'!D297+'ECD Classes'!D297</f>
        <v>11.930400000000001</v>
      </c>
      <c r="E20" s="293"/>
      <c r="F20" s="286"/>
    </row>
    <row r="21" spans="1:6" ht="21" customHeight="1">
      <c r="A21" s="286">
        <v>19</v>
      </c>
      <c r="B21" s="291" t="s">
        <v>181</v>
      </c>
      <c r="C21" s="292" t="s">
        <v>180</v>
      </c>
      <c r="D21" s="308">
        <f>D20</f>
        <v>11.930400000000001</v>
      </c>
      <c r="E21" s="293"/>
      <c r="F21" s="286"/>
    </row>
    <row r="22" spans="1:6" ht="21" customHeight="1">
      <c r="A22" s="286">
        <v>20</v>
      </c>
      <c r="B22" s="99" t="str">
        <f>'[1]Emulsion Paint'!$B$22</f>
        <v>Emulsion paint ( 3 coats)</v>
      </c>
      <c r="C22" s="17" t="s">
        <v>57</v>
      </c>
      <c r="D22" s="4">
        <f>'Stock &amp; Kitchen'!D294+'Toilet &amp; Bathroom'!D293+'Dining Area'!D292+'Sleeping Area'!D294+'Office space'!D292+'ECD Classes'!D292</f>
        <v>170.17560000000003</v>
      </c>
      <c r="E22" s="19"/>
      <c r="F22" s="286"/>
    </row>
    <row r="23" spans="1:6" ht="21" customHeight="1">
      <c r="A23" s="286">
        <v>21</v>
      </c>
      <c r="B23" s="99" t="str">
        <f>'[1]Emulsion Paint'!$B$20</f>
        <v>Whiting/stucco ( 2 coats)</v>
      </c>
      <c r="C23" s="17" t="s">
        <v>67</v>
      </c>
      <c r="D23" s="4">
        <f>'Stock &amp; Kitchen'!D295+'Toilet &amp; Bathroom'!D294+'Dining Area'!D293+'Sleeping Area'!D295+'Office space'!D293+'ECD Classes'!D293</f>
        <v>2493.4153846153845</v>
      </c>
      <c r="E23" s="19"/>
      <c r="F23" s="286"/>
    </row>
    <row r="24" spans="1:6" ht="21" customHeight="1">
      <c r="A24" s="286">
        <v>22</v>
      </c>
      <c r="B24" s="99" t="str">
        <f>'[1]Emulsion Paint'!$B$19</f>
        <v>Induit/undercoat ( 2 coats)</v>
      </c>
      <c r="C24" s="17" t="s">
        <v>57</v>
      </c>
      <c r="D24" s="4">
        <f>'Stock &amp; Kitchen'!D296+'Toilet &amp; Bathroom'!D295+'Dining Area'!D294+'Sleeping Area'!D296+'Office space'!D294+'ECD Classes'!D294+54</f>
        <v>167.4504</v>
      </c>
      <c r="E24" s="19"/>
      <c r="F24" s="286"/>
    </row>
    <row r="25" spans="1:6" ht="35.1" customHeight="1">
      <c r="A25" s="286">
        <v>23</v>
      </c>
      <c r="B25" s="99" t="s">
        <v>68</v>
      </c>
      <c r="C25" s="17" t="s">
        <v>57</v>
      </c>
      <c r="D25" s="4">
        <f>'Stock &amp; Kitchen'!D297+'Toilet &amp; Bathroom'!D296+'Dining Area'!D295+'Sleeping Area'!D297+'Office space'!D295+'ECD Classes'!D295</f>
        <v>748.02461538461534</v>
      </c>
      <c r="E25" s="19"/>
      <c r="F25" s="286"/>
    </row>
    <row r="26" spans="1:6" ht="21" customHeight="1">
      <c r="A26" s="286">
        <v>24</v>
      </c>
      <c r="B26" s="99" t="str">
        <f>'[1]Emulsion Paint'!$B$21</f>
        <v>Colle</v>
      </c>
      <c r="C26" s="17" t="s">
        <v>69</v>
      </c>
      <c r="D26" s="4">
        <f>'Stock &amp; Kitchen'!D298+'Toilet &amp; Bathroom'!D297+'Dining Area'!D296+'Sleeping Area'!D298+'Office space'!D296+'ECD Classes'!D296</f>
        <v>24.934153846153844</v>
      </c>
      <c r="E26" s="19"/>
      <c r="F26" s="286"/>
    </row>
    <row r="27" spans="1:6" ht="21" customHeight="1">
      <c r="A27" s="286">
        <v>25</v>
      </c>
      <c r="B27" s="99" t="s">
        <v>58</v>
      </c>
      <c r="C27" s="17" t="s">
        <v>59</v>
      </c>
      <c r="D27" s="4">
        <f>D21</f>
        <v>11.930400000000001</v>
      </c>
      <c r="E27" s="19"/>
      <c r="F27" s="286"/>
    </row>
    <row r="28" spans="1:6" s="52" customFormat="1" ht="19.5" customHeight="1">
      <c r="A28" s="286">
        <v>26</v>
      </c>
      <c r="B28" s="235" t="s">
        <v>137</v>
      </c>
      <c r="C28" s="236" t="s">
        <v>138</v>
      </c>
      <c r="D28" s="277">
        <f>'Roofing&amp; Ceiling&amp;Paver'!D10+'Roofing&amp; Ceiling&amp;Paver'!D41</f>
        <v>3.5696875000000006</v>
      </c>
      <c r="E28" s="267"/>
      <c r="F28" s="267"/>
    </row>
    <row r="29" spans="1:6" ht="21" customHeight="1">
      <c r="A29" s="286">
        <v>27</v>
      </c>
      <c r="B29" s="46" t="s">
        <v>65</v>
      </c>
      <c r="C29" s="42" t="s">
        <v>31</v>
      </c>
      <c r="D29" s="36">
        <f>'Stock &amp; Kitchen'!D283+'Toilet &amp; Bathroom'!D282+'Dining Area'!D281+'Sleeping Area'!D283+'Office space'!D281+'ECD Classes'!D281</f>
        <v>48.344947200000007</v>
      </c>
      <c r="E29" s="8"/>
      <c r="F29" s="286"/>
    </row>
    <row r="30" spans="1:6" ht="21" customHeight="1">
      <c r="A30" s="286">
        <v>28</v>
      </c>
      <c r="B30" s="46" t="s">
        <v>60</v>
      </c>
      <c r="C30" s="42" t="s">
        <v>44</v>
      </c>
      <c r="D30" s="36">
        <f>'Stock &amp; Kitchen'!D270+'Toilet &amp; Bathroom'!D269+'Dining Area'!D268+'Sleeping Area'!D270+'Office space'!D268+'ECD Classes'!D268</f>
        <v>7.6536000000000008</v>
      </c>
      <c r="E30" s="8"/>
      <c r="F30" s="286"/>
    </row>
    <row r="31" spans="1:6" ht="32.1" customHeight="1">
      <c r="A31" s="286">
        <v>29</v>
      </c>
      <c r="B31" s="46" t="s">
        <v>56</v>
      </c>
      <c r="C31" s="42" t="s">
        <v>57</v>
      </c>
      <c r="D31" s="36">
        <f>'Stock &amp; Kitchen'!D265+'Toilet &amp; Bathroom'!D264+'Dining Area'!D263+'Sleeping Area'!D265+'Office space'!D263+'ECD Classes'!D263</f>
        <v>80.362800000000007</v>
      </c>
      <c r="E31" s="8"/>
      <c r="F31" s="286"/>
    </row>
    <row r="32" spans="1:6" ht="21" customHeight="1">
      <c r="A32" s="286">
        <v>30</v>
      </c>
      <c r="B32" s="295" t="s">
        <v>185</v>
      </c>
      <c r="C32" s="294" t="s">
        <v>186</v>
      </c>
      <c r="D32" s="309">
        <f>'Roofing&amp; Ceiling&amp;Paver'!D9+'Roofing&amp; Ceiling&amp;Paver'!D40</f>
        <v>2.8557500000000005</v>
      </c>
      <c r="E32" s="299"/>
      <c r="F32" s="286"/>
    </row>
    <row r="33" spans="1:33" ht="21" customHeight="1">
      <c r="A33" s="286">
        <v>31</v>
      </c>
      <c r="B33" s="12" t="s">
        <v>37</v>
      </c>
      <c r="C33" s="8" t="s">
        <v>38</v>
      </c>
      <c r="D33" s="36">
        <f>'Stock &amp; Kitchen'!D176+'ECD Classes'!D175+'Office space'!D175+'Sleeping Area'!D175+'Dining Area'!D175+'Toilet &amp; Bathroom'!D175</f>
        <v>72.424999999999997</v>
      </c>
      <c r="E33" s="8"/>
      <c r="F33" s="286"/>
    </row>
    <row r="34" spans="1:33" ht="21" customHeight="1">
      <c r="A34" s="286">
        <v>32</v>
      </c>
      <c r="B34" s="9" t="s">
        <v>3</v>
      </c>
      <c r="C34" s="8" t="s">
        <v>4</v>
      </c>
      <c r="D34" s="36">
        <f>'ECD Classes'!D18+'ECD Classes'!D26+'ECD Classes'!D34+'Office space'!D34+'Office space'!D26+'Office space'!D18+'Sleeping Area'!D34+'Sleeping Area'!D26+'Sleeping Area'!D18+'Dining Area'!D34+'Dining Area'!D26+'Dining Area'!D18+'Toilet &amp; Bathroom'!D18+'Toilet &amp; Bathroom'!D26+'Toilet &amp; Bathroom'!D34+'Stock &amp; Kitchen'!D34+'Stock &amp; Kitchen'!D26+'Stock &amp; Kitchen'!D18</f>
        <v>35.120249999999999</v>
      </c>
      <c r="E34" s="8"/>
      <c r="F34" s="286"/>
    </row>
    <row r="35" spans="1:33" ht="21" customHeight="1">
      <c r="A35" s="286">
        <v>33</v>
      </c>
      <c r="B35" s="12" t="s">
        <v>30</v>
      </c>
      <c r="C35" s="8" t="s">
        <v>28</v>
      </c>
      <c r="D35" s="36">
        <f>'ECD Classes'!D164+'ECD Classes'!D221+'Office space'!D164+'Office space'!D221+'Sleeping Area'!D164+'Sleeping Area'!D223+'Dining Area'!D164+'Dining Area'!D221+'Toilet &amp; Bathroom'!D164+'Toilet &amp; Bathroom'!D221+'Stock &amp; Kitchen'!D164+'Stock &amp; Kitchen'!D222</f>
        <v>99.925317647058833</v>
      </c>
      <c r="E35" s="8"/>
      <c r="F35" s="286"/>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row>
    <row r="36" spans="1:33" s="50" customFormat="1" ht="21" customHeight="1">
      <c r="A36" s="286">
        <v>34</v>
      </c>
      <c r="B36" s="296" t="s">
        <v>99</v>
      </c>
      <c r="C36" s="297" t="s">
        <v>28</v>
      </c>
      <c r="D36" s="310">
        <f>'Stock &amp; Kitchen'!D129+'Stock &amp; Kitchen'!D140+'Stock &amp; Kitchen'!D151+'Toilet &amp; Bathroom'!D129+'Toilet &amp; Bathroom'!D140+'Toilet &amp; Bathroom'!D151+'ECD Classes'!D129+'ECD Classes'!D140+'ECD Classes'!D151+'Office space'!D129+'Office space'!D140+'Office space'!D151+'Sleeping Area'!D129+'Sleeping Area'!D140+'Sleeping Area'!D151+'Dining Area'!D129+'Dining Area'!D140+'Dining Area'!D151</f>
        <v>11.743050000000002</v>
      </c>
      <c r="E36" s="298"/>
      <c r="F36" s="92"/>
      <c r="G36" s="362"/>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row>
    <row r="37" spans="1:33" s="361" customFormat="1" ht="19.7" customHeight="1">
      <c r="A37" s="286">
        <v>35</v>
      </c>
      <c r="B37" s="363" t="s">
        <v>222</v>
      </c>
      <c r="C37" s="8" t="s">
        <v>44</v>
      </c>
      <c r="D37" s="364">
        <f>'Roofing&amp; Ceiling&amp;Paver'!D112</f>
        <v>13750</v>
      </c>
      <c r="E37" s="334"/>
      <c r="F37" s="364"/>
    </row>
  </sheetData>
  <mergeCells count="1">
    <mergeCell ref="B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Cost summary</vt:lpstr>
      <vt:lpstr>ECD Classes</vt:lpstr>
      <vt:lpstr>Office space</vt:lpstr>
      <vt:lpstr>Sleeping Area</vt:lpstr>
      <vt:lpstr>Dining Area</vt:lpstr>
      <vt:lpstr>Toilet &amp; Bathroom</vt:lpstr>
      <vt:lpstr>Stock &amp; Kitchen</vt:lpstr>
      <vt:lpstr>Roofing&amp; Ceiling&amp;Paver</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Nyakabingo ECD</dc:title>
  <dc:subject>BoQ</dc:subject>
  <dc:creator>Eng. Kevin M</dc:creator>
  <cp:keywords/>
  <dc:description/>
  <cp:lastModifiedBy>Jeome Sande</cp:lastModifiedBy>
  <dcterms:created xsi:type="dcterms:W3CDTF">2024-07-05T12:33:19Z</dcterms:created>
  <dcterms:modified xsi:type="dcterms:W3CDTF">2025-11-20T21:51:42Z</dcterms:modified>
  <cp:category/>
</cp:coreProperties>
</file>