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Administrator\Desktop\Working\Tenders\Nyakabingo ECD\"/>
    </mc:Choice>
  </mc:AlternateContent>
  <xr:revisionPtr revIDLastSave="0" documentId="8_{10551501-FC7B-4D6D-B44A-63A33047038C}" xr6:coauthVersionLast="47" xr6:coauthVersionMax="47" xr10:uidLastSave="{00000000-0000-0000-0000-000000000000}"/>
  <bookViews>
    <workbookView xWindow="28680" yWindow="-120" windowWidth="29040" windowHeight="15720" xr2:uid="{00000000-000D-0000-FFFF-FFFF00000000}"/>
  </bookViews>
  <sheets>
    <sheet name="Cost summary" sheetId="10" r:id="rId1"/>
    <sheet name="ECD Classes" sheetId="1" r:id="rId2"/>
    <sheet name="Office space" sheetId="6" r:id="rId3"/>
    <sheet name="Sleeping Area" sheetId="4" r:id="rId4"/>
    <sheet name="Dining Area" sheetId="2" r:id="rId5"/>
    <sheet name="Toilet &amp; Bathroom" sheetId="5" r:id="rId6"/>
    <sheet name="Stock &amp; Kitchen" sheetId="3" r:id="rId7"/>
    <sheet name="Roofing&amp; Ceiling&amp;Paver" sheetId="7" r:id="rId8"/>
    <sheet name="Summary" sheetId="9"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 i="10" l="1"/>
  <c r="C13" i="10"/>
  <c r="D12" i="10"/>
  <c r="D3" i="10"/>
  <c r="D4" i="10"/>
  <c r="D5" i="10"/>
  <c r="D6" i="10"/>
  <c r="D7" i="10"/>
  <c r="D8" i="10"/>
  <c r="D9" i="10"/>
  <c r="D10" i="10"/>
  <c r="D11" i="10"/>
  <c r="E37" i="9"/>
  <c r="D13" i="10" l="1"/>
  <c r="D107" i="7"/>
  <c r="D93" i="7"/>
  <c r="D102" i="7" s="1"/>
  <c r="E110" i="7"/>
  <c r="E109" i="7"/>
  <c r="D118" i="7"/>
  <c r="E95" i="7"/>
  <c r="D100" i="7"/>
  <c r="F7" i="9"/>
  <c r="D336" i="5"/>
  <c r="D347" i="5" s="1"/>
  <c r="D348" i="5" s="1"/>
  <c r="F348" i="5" s="1"/>
  <c r="E339" i="5"/>
  <c r="E28" i="9"/>
  <c r="E5" i="9"/>
  <c r="E32" i="9"/>
  <c r="D83" i="7"/>
  <c r="F83" i="7" s="1"/>
  <c r="D71" i="7"/>
  <c r="F71" i="7" s="1"/>
  <c r="E33" i="9"/>
  <c r="E31" i="9"/>
  <c r="E29" i="9"/>
  <c r="E26" i="9"/>
  <c r="B26" i="9"/>
  <c r="E25" i="9"/>
  <c r="E24" i="9"/>
  <c r="B24" i="9"/>
  <c r="E23" i="9"/>
  <c r="B23" i="9"/>
  <c r="E22" i="9"/>
  <c r="B22" i="9"/>
  <c r="E19" i="9"/>
  <c r="E18" i="9"/>
  <c r="E17" i="9"/>
  <c r="E16" i="9"/>
  <c r="E14" i="9"/>
  <c r="E11" i="9"/>
  <c r="E8" i="9"/>
  <c r="D35" i="7"/>
  <c r="D42" i="7" s="1"/>
  <c r="D43" i="7" s="1"/>
  <c r="F43" i="7" s="1"/>
  <c r="E84" i="7"/>
  <c r="E82" i="7"/>
  <c r="D80" i="7"/>
  <c r="D89" i="7" s="1"/>
  <c r="D88" i="7" s="1"/>
  <c r="E72" i="7"/>
  <c r="D68" i="7"/>
  <c r="D70" i="7" s="1"/>
  <c r="D77" i="7" s="1"/>
  <c r="D45" i="7"/>
  <c r="D47" i="7" s="1"/>
  <c r="D53" i="7" s="1"/>
  <c r="D14" i="7"/>
  <c r="D16" i="7" s="1"/>
  <c r="D22" i="7" s="1"/>
  <c r="D4" i="7"/>
  <c r="D11" i="7" s="1"/>
  <c r="D12" i="7" s="1"/>
  <c r="F12" i="7" s="1"/>
  <c r="D235" i="2"/>
  <c r="D216" i="2"/>
  <c r="D219" i="2" s="1"/>
  <c r="F219" i="2" s="1"/>
  <c r="D235" i="1"/>
  <c r="D216" i="1"/>
  <c r="D277" i="3"/>
  <c r="D290" i="3" s="1"/>
  <c r="D248" i="3"/>
  <c r="D183" i="3"/>
  <c r="D276" i="5"/>
  <c r="D278" i="5" s="1"/>
  <c r="D247" i="5"/>
  <c r="D249" i="5" s="1"/>
  <c r="D182" i="5"/>
  <c r="D275" i="2"/>
  <c r="D247" i="2"/>
  <c r="D182" i="2"/>
  <c r="D247" i="4"/>
  <c r="D182" i="4"/>
  <c r="D275" i="6"/>
  <c r="D247" i="6"/>
  <c r="D259" i="6" s="1"/>
  <c r="D182" i="6"/>
  <c r="D275" i="1"/>
  <c r="D247" i="1"/>
  <c r="D182" i="1"/>
  <c r="D114" i="3"/>
  <c r="D114" i="5"/>
  <c r="D114" i="2"/>
  <c r="D114" i="1"/>
  <c r="D114" i="6"/>
  <c r="D114" i="4"/>
  <c r="E321" i="3"/>
  <c r="F321" i="3" s="1"/>
  <c r="D325" i="3"/>
  <c r="D326" i="3" s="1"/>
  <c r="F326" i="3" s="1"/>
  <c r="D314" i="3"/>
  <c r="F314" i="3" s="1"/>
  <c r="E310" i="3"/>
  <c r="F310" i="3" s="1"/>
  <c r="F311" i="3" s="1"/>
  <c r="B298" i="3"/>
  <c r="B297" i="3"/>
  <c r="E296" i="3"/>
  <c r="B296" i="3"/>
  <c r="E295" i="3"/>
  <c r="E294" i="3"/>
  <c r="B294" i="3"/>
  <c r="E293" i="3"/>
  <c r="B293" i="3"/>
  <c r="E292" i="3"/>
  <c r="B292" i="3"/>
  <c r="D313" i="5"/>
  <c r="D314" i="5" s="1"/>
  <c r="F314" i="5" s="1"/>
  <c r="E309" i="5"/>
  <c r="F309" i="5"/>
  <c r="F310" i="5" s="1"/>
  <c r="E320" i="5"/>
  <c r="F320" i="5" s="1"/>
  <c r="F321" i="5" s="1"/>
  <c r="D333" i="5"/>
  <c r="D334" i="5" s="1"/>
  <c r="F334" i="5" s="1"/>
  <c r="E329" i="5"/>
  <c r="F329" i="5" s="1"/>
  <c r="F330" i="5" s="1"/>
  <c r="D324" i="5"/>
  <c r="D325" i="5" s="1"/>
  <c r="F325" i="5" s="1"/>
  <c r="B297" i="5"/>
  <c r="B296" i="5"/>
  <c r="E295" i="5"/>
  <c r="B295" i="5"/>
  <c r="E294" i="5"/>
  <c r="E293" i="5"/>
  <c r="B293" i="5"/>
  <c r="E292" i="5"/>
  <c r="B292" i="5"/>
  <c r="E291" i="5"/>
  <c r="B291" i="5"/>
  <c r="E328" i="2"/>
  <c r="F328" i="2" s="1"/>
  <c r="F329" i="2" s="1"/>
  <c r="D332" i="2"/>
  <c r="F332" i="2" s="1"/>
  <c r="D323" i="2"/>
  <c r="D324" i="2" s="1"/>
  <c r="F324" i="2" s="1"/>
  <c r="F319" i="2"/>
  <c r="F320" i="2" s="1"/>
  <c r="D312" i="2"/>
  <c r="D313" i="2" s="1"/>
  <c r="F313" i="2" s="1"/>
  <c r="F308" i="2"/>
  <c r="F309" i="2" s="1"/>
  <c r="B296" i="2"/>
  <c r="B295" i="2"/>
  <c r="E294" i="2"/>
  <c r="B294" i="2"/>
  <c r="E293" i="2"/>
  <c r="E292" i="2"/>
  <c r="B292" i="2"/>
  <c r="E291" i="2"/>
  <c r="B291" i="2"/>
  <c r="E290" i="2"/>
  <c r="B290" i="2"/>
  <c r="D308" i="1"/>
  <c r="D312" i="1" s="1"/>
  <c r="F308" i="1"/>
  <c r="F309" i="1" s="1"/>
  <c r="D328" i="1"/>
  <c r="F328" i="1" s="1"/>
  <c r="F329" i="1" s="1"/>
  <c r="D319" i="4"/>
  <c r="F319" i="4" s="1"/>
  <c r="E308" i="4"/>
  <c r="F308" i="4" s="1"/>
  <c r="D323" i="4"/>
  <c r="D324" i="4" s="1"/>
  <c r="F324" i="4" s="1"/>
  <c r="D312" i="4"/>
  <c r="B296" i="4"/>
  <c r="B295" i="4"/>
  <c r="E294" i="4"/>
  <c r="B294" i="4"/>
  <c r="E293" i="4"/>
  <c r="E292" i="4"/>
  <c r="B292" i="4"/>
  <c r="E291" i="4"/>
  <c r="B291" i="4"/>
  <c r="E290" i="4"/>
  <c r="B290" i="4"/>
  <c r="E319" i="6"/>
  <c r="F319" i="6" s="1"/>
  <c r="D323" i="6"/>
  <c r="D324" i="6" s="1"/>
  <c r="F324" i="6" s="1"/>
  <c r="D308" i="6"/>
  <c r="F308" i="6" s="1"/>
  <c r="F309" i="6" s="1"/>
  <c r="B296" i="6"/>
  <c r="B295" i="6"/>
  <c r="E294" i="6"/>
  <c r="B294" i="6"/>
  <c r="E293" i="6"/>
  <c r="E292" i="6"/>
  <c r="B292" i="6"/>
  <c r="E291" i="6"/>
  <c r="B291" i="6"/>
  <c r="E290" i="6"/>
  <c r="B290" i="6"/>
  <c r="E53" i="7"/>
  <c r="E52" i="7"/>
  <c r="E51" i="7"/>
  <c r="E50" i="7"/>
  <c r="E49" i="7"/>
  <c r="E39" i="7"/>
  <c r="E38" i="7"/>
  <c r="E37" i="7"/>
  <c r="E70" i="7"/>
  <c r="E22" i="7"/>
  <c r="E21" i="7"/>
  <c r="E20" i="7"/>
  <c r="E19" i="7"/>
  <c r="E18" i="7"/>
  <c r="E8" i="7"/>
  <c r="E7" i="7"/>
  <c r="E6" i="7"/>
  <c r="D332" i="1"/>
  <c r="D333" i="1" s="1"/>
  <c r="F333" i="1" s="1"/>
  <c r="D321" i="1"/>
  <c r="D322" i="1" s="1"/>
  <c r="F322" i="1" s="1"/>
  <c r="F317" i="1"/>
  <c r="F318" i="1" s="1"/>
  <c r="D147" i="1"/>
  <c r="D153" i="1" s="1"/>
  <c r="D136" i="1"/>
  <c r="D138" i="1" s="1"/>
  <c r="F138" i="1" s="1"/>
  <c r="F139" i="1" s="1"/>
  <c r="D125" i="1"/>
  <c r="D131" i="1" s="1"/>
  <c r="D89" i="1"/>
  <c r="D97" i="1" s="1"/>
  <c r="D100" i="1"/>
  <c r="D104" i="1" s="1"/>
  <c r="D58" i="1"/>
  <c r="D30" i="1"/>
  <c r="D36" i="1" s="1"/>
  <c r="F36" i="1" s="1"/>
  <c r="F37" i="1" s="1"/>
  <c r="D7" i="1"/>
  <c r="D10" i="1" s="1"/>
  <c r="D9" i="1" s="1"/>
  <c r="F9" i="1" s="1"/>
  <c r="D78" i="1"/>
  <c r="D81" i="1" s="1"/>
  <c r="D40" i="1"/>
  <c r="D41" i="1" s="1"/>
  <c r="D14" i="1"/>
  <c r="D20" i="1" s="1"/>
  <c r="F20" i="1" s="1"/>
  <c r="F21" i="1" s="1"/>
  <c r="D3" i="1"/>
  <c r="D120" i="1"/>
  <c r="D121" i="1" s="1"/>
  <c r="F121" i="1" s="1"/>
  <c r="E115" i="1"/>
  <c r="D115" i="1"/>
  <c r="E114" i="1"/>
  <c r="E104" i="1"/>
  <c r="E93" i="1"/>
  <c r="E82" i="1"/>
  <c r="D28" i="1"/>
  <c r="F28" i="1" s="1"/>
  <c r="F29" i="1" s="1"/>
  <c r="D24" i="1"/>
  <c r="F24" i="1" s="1"/>
  <c r="D147" i="6"/>
  <c r="D136" i="6"/>
  <c r="D138" i="6" s="1"/>
  <c r="F138" i="6" s="1"/>
  <c r="F139" i="6" s="1"/>
  <c r="D125" i="6"/>
  <c r="D100" i="6"/>
  <c r="D103" i="6" s="1"/>
  <c r="D89" i="6"/>
  <c r="D97" i="6" s="1"/>
  <c r="D98" i="6" s="1"/>
  <c r="F98" i="6" s="1"/>
  <c r="D78" i="6"/>
  <c r="D81" i="6" s="1"/>
  <c r="D58" i="6"/>
  <c r="D59" i="6" s="1"/>
  <c r="D40" i="6"/>
  <c r="D41" i="6" s="1"/>
  <c r="D55" i="6" s="1"/>
  <c r="F55" i="6" s="1"/>
  <c r="D30" i="6"/>
  <c r="D36" i="6" s="1"/>
  <c r="F36" i="6" s="1"/>
  <c r="F37" i="6" s="1"/>
  <c r="D14" i="6"/>
  <c r="D20" i="6" s="1"/>
  <c r="F20" i="6" s="1"/>
  <c r="F21" i="6" s="1"/>
  <c r="D7" i="6"/>
  <c r="D10" i="6" s="1"/>
  <c r="D9" i="6" s="1"/>
  <c r="F9" i="6" s="1"/>
  <c r="D3" i="6"/>
  <c r="D120" i="6"/>
  <c r="D121" i="6" s="1"/>
  <c r="F121" i="6" s="1"/>
  <c r="E115" i="6"/>
  <c r="D115" i="6"/>
  <c r="E114" i="6"/>
  <c r="E104" i="6"/>
  <c r="E93" i="6"/>
  <c r="E82" i="6"/>
  <c r="D28" i="6"/>
  <c r="F28" i="6" s="1"/>
  <c r="F29" i="6" s="1"/>
  <c r="D24" i="6"/>
  <c r="F24" i="6" s="1"/>
  <c r="F25" i="6" s="1"/>
  <c r="D147" i="4"/>
  <c r="D136" i="4"/>
  <c r="D125" i="4"/>
  <c r="D89" i="2"/>
  <c r="D97" i="2" s="1"/>
  <c r="D98" i="2" s="1"/>
  <c r="F98" i="2" s="1"/>
  <c r="D100" i="4"/>
  <c r="D89" i="4"/>
  <c r="D78" i="4"/>
  <c r="D58" i="4"/>
  <c r="D59" i="4" s="1"/>
  <c r="D40" i="4"/>
  <c r="D41" i="4" s="1"/>
  <c r="D30" i="4"/>
  <c r="D32" i="4" s="1"/>
  <c r="F32" i="4" s="1"/>
  <c r="F33" i="4" s="1"/>
  <c r="D14" i="4"/>
  <c r="D20" i="4" s="1"/>
  <c r="F20" i="4" s="1"/>
  <c r="F21" i="4" s="1"/>
  <c r="D7" i="4"/>
  <c r="D10" i="4" s="1"/>
  <c r="D9" i="4" s="1"/>
  <c r="F9" i="4" s="1"/>
  <c r="D3" i="4"/>
  <c r="D153" i="4"/>
  <c r="D138" i="4"/>
  <c r="F138" i="4" s="1"/>
  <c r="F139" i="4" s="1"/>
  <c r="D131" i="4"/>
  <c r="D120" i="4"/>
  <c r="D121" i="4" s="1"/>
  <c r="F121" i="4" s="1"/>
  <c r="E115" i="4"/>
  <c r="D115" i="4"/>
  <c r="E114" i="4"/>
  <c r="F114" i="4" s="1"/>
  <c r="E104" i="4"/>
  <c r="D104" i="4"/>
  <c r="D103" i="4"/>
  <c r="E93" i="4"/>
  <c r="D97" i="4"/>
  <c r="E82" i="4"/>
  <c r="D81" i="4"/>
  <c r="D28" i="4"/>
  <c r="F28" i="4" s="1"/>
  <c r="F29" i="4" s="1"/>
  <c r="D24" i="4"/>
  <c r="F24" i="4" s="1"/>
  <c r="D5" i="4"/>
  <c r="F5" i="4" s="1"/>
  <c r="F6" i="4" s="1"/>
  <c r="F3" i="4" s="1"/>
  <c r="D147" i="2"/>
  <c r="D136" i="2"/>
  <c r="D138" i="2" s="1"/>
  <c r="F138" i="2" s="1"/>
  <c r="F139" i="2" s="1"/>
  <c r="D125" i="2"/>
  <c r="D131" i="2" s="1"/>
  <c r="D100" i="2"/>
  <c r="D78" i="2"/>
  <c r="D58" i="2"/>
  <c r="D40" i="2"/>
  <c r="D41" i="2" s="1"/>
  <c r="D30" i="2"/>
  <c r="D36" i="2" s="1"/>
  <c r="F36" i="2" s="1"/>
  <c r="F37" i="2" s="1"/>
  <c r="D14" i="2"/>
  <c r="D7" i="2"/>
  <c r="D10" i="2" s="1"/>
  <c r="D9" i="2" s="1"/>
  <c r="F9" i="2" s="1"/>
  <c r="D3" i="2"/>
  <c r="D5" i="2" s="1"/>
  <c r="F5" i="2" s="1"/>
  <c r="F6" i="2" s="1"/>
  <c r="F3" i="2" s="1"/>
  <c r="D153" i="2"/>
  <c r="D120" i="2"/>
  <c r="D121" i="2" s="1"/>
  <c r="F121" i="2" s="1"/>
  <c r="E115" i="2"/>
  <c r="D115" i="2"/>
  <c r="E114" i="2"/>
  <c r="E104" i="2"/>
  <c r="E93" i="2"/>
  <c r="E82" i="2"/>
  <c r="D28" i="2"/>
  <c r="F28" i="2" s="1"/>
  <c r="F29" i="2" s="1"/>
  <c r="D24" i="2"/>
  <c r="F24" i="2" s="1"/>
  <c r="D147" i="5"/>
  <c r="D153" i="5" s="1"/>
  <c r="D136" i="5"/>
  <c r="D138" i="5" s="1"/>
  <c r="F138" i="5" s="1"/>
  <c r="F139" i="5" s="1"/>
  <c r="D125" i="5"/>
  <c r="D100" i="5"/>
  <c r="D89" i="5"/>
  <c r="D92" i="5" s="1"/>
  <c r="D78" i="5"/>
  <c r="D58" i="3"/>
  <c r="D58" i="5"/>
  <c r="D59" i="5" s="1"/>
  <c r="D73" i="5" s="1"/>
  <c r="F73" i="5" s="1"/>
  <c r="D40" i="5"/>
  <c r="D41" i="5" s="1"/>
  <c r="D55" i="5" s="1"/>
  <c r="F55" i="5" s="1"/>
  <c r="D30" i="5"/>
  <c r="D36" i="5" s="1"/>
  <c r="F36" i="5" s="1"/>
  <c r="F37" i="5" s="1"/>
  <c r="D14" i="5"/>
  <c r="D3" i="5"/>
  <c r="D7" i="5"/>
  <c r="D10" i="5" s="1"/>
  <c r="D5" i="5"/>
  <c r="F5" i="5" s="1"/>
  <c r="F6" i="5" s="1"/>
  <c r="F3" i="5" s="1"/>
  <c r="D131" i="5"/>
  <c r="D120" i="5"/>
  <c r="D121" i="5" s="1"/>
  <c r="F121" i="5" s="1"/>
  <c r="E115" i="5"/>
  <c r="D115" i="5"/>
  <c r="E114" i="5"/>
  <c r="E104" i="5"/>
  <c r="E93" i="5"/>
  <c r="E82" i="5"/>
  <c r="D28" i="5"/>
  <c r="F28" i="5" s="1"/>
  <c r="F29" i="5" s="1"/>
  <c r="D24" i="5"/>
  <c r="F24" i="5" s="1"/>
  <c r="D147" i="3"/>
  <c r="D149" i="3" s="1"/>
  <c r="F149" i="3" s="1"/>
  <c r="F150" i="3" s="1"/>
  <c r="D136" i="3"/>
  <c r="D138" i="3" s="1"/>
  <c r="F138" i="3" s="1"/>
  <c r="F139" i="3" s="1"/>
  <c r="D125" i="3"/>
  <c r="D127" i="3" s="1"/>
  <c r="F127" i="3" s="1"/>
  <c r="F128" i="3" s="1"/>
  <c r="D100" i="3"/>
  <c r="D104" i="3" s="1"/>
  <c r="D89" i="3"/>
  <c r="D92" i="3" s="1"/>
  <c r="D78" i="3"/>
  <c r="D82" i="3" s="1"/>
  <c r="D40" i="3"/>
  <c r="D41" i="3" s="1"/>
  <c r="D43" i="3" s="1"/>
  <c r="F43" i="3" s="1"/>
  <c r="D30" i="3"/>
  <c r="D32" i="3" s="1"/>
  <c r="F32" i="3" s="1"/>
  <c r="F33" i="3" s="1"/>
  <c r="D14" i="3"/>
  <c r="D16" i="3" s="1"/>
  <c r="F16" i="3" s="1"/>
  <c r="F17" i="3" s="1"/>
  <c r="D7" i="3"/>
  <c r="D10" i="3" s="1"/>
  <c r="D9" i="3" s="1"/>
  <c r="F9" i="3" s="1"/>
  <c r="D3" i="3"/>
  <c r="D5" i="3" s="1"/>
  <c r="F5" i="3" s="1"/>
  <c r="F6" i="3" s="1"/>
  <c r="F3" i="3" s="1"/>
  <c r="E3" i="3" s="1"/>
  <c r="D120" i="3"/>
  <c r="D121" i="3" s="1"/>
  <c r="F121" i="3" s="1"/>
  <c r="E115" i="3"/>
  <c r="D115" i="3"/>
  <c r="E114" i="3"/>
  <c r="D28" i="3"/>
  <c r="F28" i="3" s="1"/>
  <c r="F29" i="3" s="1"/>
  <c r="E104" i="3"/>
  <c r="E93" i="3"/>
  <c r="E82" i="3"/>
  <c r="D281" i="3"/>
  <c r="D250" i="3"/>
  <c r="E281" i="3"/>
  <c r="E279" i="3"/>
  <c r="B266" i="3"/>
  <c r="B265" i="3"/>
  <c r="E264" i="3"/>
  <c r="B264" i="3"/>
  <c r="E263" i="3"/>
  <c r="E250" i="3"/>
  <c r="D243" i="3"/>
  <c r="D244" i="3" s="1"/>
  <c r="F244" i="3" s="1"/>
  <c r="D239" i="3"/>
  <c r="F239" i="3" s="1"/>
  <c r="D238" i="3"/>
  <c r="F238" i="3" s="1"/>
  <c r="D197" i="3"/>
  <c r="D208" i="3" s="1"/>
  <c r="D203" i="3" s="1"/>
  <c r="F203" i="3" s="1"/>
  <c r="D184" i="3"/>
  <c r="D193" i="3" s="1"/>
  <c r="F193" i="3" s="1"/>
  <c r="D172" i="3"/>
  <c r="D174" i="3" s="1"/>
  <c r="D160" i="3"/>
  <c r="D164" i="3" s="1"/>
  <c r="F164" i="3" s="1"/>
  <c r="E280" i="5"/>
  <c r="E278" i="5"/>
  <c r="B265" i="5"/>
  <c r="B264" i="5"/>
  <c r="E263" i="5"/>
  <c r="B263" i="5"/>
  <c r="E262" i="5"/>
  <c r="E249" i="5"/>
  <c r="D242" i="5"/>
  <c r="F242" i="5" s="1"/>
  <c r="D238" i="5"/>
  <c r="F238" i="5" s="1"/>
  <c r="D237" i="5"/>
  <c r="F237" i="5" s="1"/>
  <c r="F239" i="5" s="1"/>
  <c r="D196" i="5"/>
  <c r="D211" i="5" s="1"/>
  <c r="D212" i="5" s="1"/>
  <c r="D171" i="5"/>
  <c r="D177" i="5" s="1"/>
  <c r="D160" i="5"/>
  <c r="D168" i="5" s="1"/>
  <c r="D169" i="5" s="1"/>
  <c r="F169" i="5" s="1"/>
  <c r="D277" i="2"/>
  <c r="D254" i="2"/>
  <c r="D255" i="2" s="1"/>
  <c r="F255" i="2" s="1"/>
  <c r="E279" i="2"/>
  <c r="E277" i="2"/>
  <c r="B264" i="2"/>
  <c r="B263" i="2"/>
  <c r="E262" i="2"/>
  <c r="B262" i="2"/>
  <c r="E261" i="2"/>
  <c r="E249" i="2"/>
  <c r="D242" i="2"/>
  <c r="F242" i="2" s="1"/>
  <c r="D238" i="2"/>
  <c r="F238" i="2" s="1"/>
  <c r="D237" i="2"/>
  <c r="F237" i="2" s="1"/>
  <c r="D196" i="2"/>
  <c r="D207" i="2" s="1"/>
  <c r="D171" i="2"/>
  <c r="D177" i="2" s="1"/>
  <c r="D160" i="2"/>
  <c r="D168" i="2" s="1"/>
  <c r="D169" i="2" s="1"/>
  <c r="F169" i="2" s="1"/>
  <c r="D249" i="4"/>
  <c r="D196" i="4"/>
  <c r="D211" i="4" s="1"/>
  <c r="D212" i="4" s="1"/>
  <c r="D171" i="4"/>
  <c r="D173" i="4" s="1"/>
  <c r="D160" i="4"/>
  <c r="D168" i="4" s="1"/>
  <c r="D169" i="4" s="1"/>
  <c r="F169" i="4" s="1"/>
  <c r="D277" i="6"/>
  <c r="D196" i="6"/>
  <c r="D207" i="6" s="1"/>
  <c r="D183" i="6"/>
  <c r="D160" i="6"/>
  <c r="D168" i="6" s="1"/>
  <c r="D169" i="6" s="1"/>
  <c r="F169" i="6" s="1"/>
  <c r="D283" i="1"/>
  <c r="D284" i="1" s="1"/>
  <c r="F284" i="1" s="1"/>
  <c r="D254" i="1"/>
  <c r="D255" i="1" s="1"/>
  <c r="F255" i="1" s="1"/>
  <c r="D196" i="1"/>
  <c r="D206" i="1" s="1"/>
  <c r="F206" i="1" s="1"/>
  <c r="D160" i="1"/>
  <c r="D168" i="1" s="1"/>
  <c r="D169" i="1" s="1"/>
  <c r="F169" i="1" s="1"/>
  <c r="D171" i="1"/>
  <c r="D177" i="1" s="1"/>
  <c r="D220" i="3"/>
  <c r="F220" i="3" s="1"/>
  <c r="D218" i="3"/>
  <c r="D232" i="3" s="1"/>
  <c r="F232" i="3" s="1"/>
  <c r="E174" i="3"/>
  <c r="D219" i="5"/>
  <c r="F219" i="5" s="1"/>
  <c r="D217" i="5"/>
  <c r="D231" i="5" s="1"/>
  <c r="F231" i="5" s="1"/>
  <c r="E173" i="5"/>
  <c r="E279" i="4"/>
  <c r="E277" i="4"/>
  <c r="B264" i="4"/>
  <c r="B263" i="4"/>
  <c r="E262" i="4"/>
  <c r="B262" i="4"/>
  <c r="E261" i="4"/>
  <c r="E249" i="4"/>
  <c r="D242" i="4"/>
  <c r="D243" i="4" s="1"/>
  <c r="F243" i="4" s="1"/>
  <c r="D238" i="4"/>
  <c r="F238" i="4" s="1"/>
  <c r="D237" i="4"/>
  <c r="F237" i="4" s="1"/>
  <c r="D219" i="4"/>
  <c r="F219" i="4" s="1"/>
  <c r="D217" i="4"/>
  <c r="D232" i="4" s="1"/>
  <c r="F232" i="4" s="1"/>
  <c r="E173" i="4"/>
  <c r="E279" i="6"/>
  <c r="E277" i="6"/>
  <c r="B264" i="6"/>
  <c r="B263" i="6"/>
  <c r="E262" i="6"/>
  <c r="B262" i="6"/>
  <c r="E261" i="6"/>
  <c r="E249" i="6"/>
  <c r="D242" i="6"/>
  <c r="D243" i="6" s="1"/>
  <c r="F243" i="6" s="1"/>
  <c r="D238" i="6"/>
  <c r="F238" i="6" s="1"/>
  <c r="D237" i="6"/>
  <c r="F237" i="6" s="1"/>
  <c r="D219" i="6"/>
  <c r="F219" i="6" s="1"/>
  <c r="D217" i="6"/>
  <c r="D231" i="6" s="1"/>
  <c r="F231" i="6" s="1"/>
  <c r="E173" i="6"/>
  <c r="D171" i="6"/>
  <c r="D173" i="6" s="1"/>
  <c r="B296" i="1"/>
  <c r="B295" i="1"/>
  <c r="E294" i="1"/>
  <c r="B294" i="1"/>
  <c r="E293" i="1"/>
  <c r="E292" i="1"/>
  <c r="B292" i="1"/>
  <c r="E291" i="1"/>
  <c r="B291" i="1"/>
  <c r="B290" i="1"/>
  <c r="E279" i="1"/>
  <c r="E277" i="1"/>
  <c r="B264" i="1"/>
  <c r="B263" i="1"/>
  <c r="E262" i="1"/>
  <c r="B262" i="1"/>
  <c r="E261" i="1"/>
  <c r="E249" i="1"/>
  <c r="D242" i="1"/>
  <c r="D243" i="1" s="1"/>
  <c r="F243" i="1" s="1"/>
  <c r="D238" i="1"/>
  <c r="F238" i="1" s="1"/>
  <c r="D237" i="1"/>
  <c r="F237" i="1" s="1"/>
  <c r="D219" i="1"/>
  <c r="F219" i="1" s="1"/>
  <c r="D217" i="1"/>
  <c r="D231" i="1" s="1"/>
  <c r="F231" i="1" s="1"/>
  <c r="E173" i="1"/>
  <c r="E173" i="2"/>
  <c r="F312" i="1" l="1"/>
  <c r="D313" i="1"/>
  <c r="F313" i="1" s="1"/>
  <c r="D293" i="3"/>
  <c r="D292" i="3"/>
  <c r="D207" i="4"/>
  <c r="D202" i="4" s="1"/>
  <c r="F202" i="4" s="1"/>
  <c r="F115" i="6"/>
  <c r="F173" i="6"/>
  <c r="F174" i="6" s="1"/>
  <c r="F115" i="5"/>
  <c r="F115" i="2"/>
  <c r="F104" i="4"/>
  <c r="F115" i="4"/>
  <c r="F117" i="4" s="1"/>
  <c r="F115" i="1"/>
  <c r="D104" i="7"/>
  <c r="D110" i="7"/>
  <c r="F53" i="7"/>
  <c r="D119" i="7"/>
  <c r="F119" i="7" s="1"/>
  <c r="F118" i="7"/>
  <c r="D18" i="9"/>
  <c r="F22" i="7"/>
  <c r="D101" i="7"/>
  <c r="F101" i="7" s="1"/>
  <c r="F100" i="7"/>
  <c r="D96" i="7"/>
  <c r="F96" i="7" s="1"/>
  <c r="D337" i="5"/>
  <c r="D339" i="5"/>
  <c r="F347" i="5"/>
  <c r="F349" i="5" s="1"/>
  <c r="D279" i="5"/>
  <c r="F279" i="5" s="1"/>
  <c r="D280" i="5"/>
  <c r="F280" i="5" s="1"/>
  <c r="F114" i="5"/>
  <c r="D11" i="9"/>
  <c r="F11" i="9" s="1"/>
  <c r="D12" i="9"/>
  <c r="F12" i="9" s="1"/>
  <c r="F278" i="5"/>
  <c r="D289" i="5"/>
  <c r="D294" i="5" s="1"/>
  <c r="F18" i="9"/>
  <c r="D82" i="7"/>
  <c r="F82" i="7" s="1"/>
  <c r="D84" i="7"/>
  <c r="F84" i="7" s="1"/>
  <c r="D72" i="7"/>
  <c r="F72" i="7" s="1"/>
  <c r="F70" i="7"/>
  <c r="F73" i="7" s="1"/>
  <c r="F239" i="2"/>
  <c r="D217" i="2"/>
  <c r="D231" i="2" s="1"/>
  <c r="F231" i="2" s="1"/>
  <c r="D296" i="3"/>
  <c r="F296" i="3" s="1"/>
  <c r="D299" i="3"/>
  <c r="F299" i="3" s="1"/>
  <c r="D297" i="3"/>
  <c r="F297" i="3" s="1"/>
  <c r="D304" i="3"/>
  <c r="F304" i="3" s="1"/>
  <c r="D303" i="3"/>
  <c r="F303" i="3" s="1"/>
  <c r="F305" i="3" s="1"/>
  <c r="D315" i="3"/>
  <c r="F315" i="3" s="1"/>
  <c r="F316" i="3" s="1"/>
  <c r="F308" i="3" s="1"/>
  <c r="E308" i="3" s="1"/>
  <c r="F293" i="3"/>
  <c r="D294" i="3"/>
  <c r="F294" i="3" s="1"/>
  <c r="D298" i="3"/>
  <c r="F298" i="3" s="1"/>
  <c r="D295" i="3"/>
  <c r="F295" i="3" s="1"/>
  <c r="F325" i="3"/>
  <c r="F327" i="3" s="1"/>
  <c r="F319" i="3" s="1"/>
  <c r="E319" i="3" s="1"/>
  <c r="F292" i="3"/>
  <c r="F313" i="5"/>
  <c r="F315" i="5" s="1"/>
  <c r="F307" i="5" s="1"/>
  <c r="E307" i="5" s="1"/>
  <c r="D293" i="5"/>
  <c r="F333" i="5"/>
  <c r="F335" i="5" s="1"/>
  <c r="F327" i="5" s="1"/>
  <c r="D297" i="5"/>
  <c r="F297" i="5" s="1"/>
  <c r="F324" i="5"/>
  <c r="F326" i="5" s="1"/>
  <c r="F318" i="5" s="1"/>
  <c r="E318" i="5" s="1"/>
  <c r="D333" i="2"/>
  <c r="F333" i="2" s="1"/>
  <c r="F334" i="2" s="1"/>
  <c r="F326" i="2" s="1"/>
  <c r="E326" i="2" s="1"/>
  <c r="D288" i="2"/>
  <c r="D292" i="2" s="1"/>
  <c r="F292" i="2" s="1"/>
  <c r="F312" i="2"/>
  <c r="F314" i="2" s="1"/>
  <c r="F306" i="2" s="1"/>
  <c r="F323" i="2"/>
  <c r="F325" i="2" s="1"/>
  <c r="F317" i="2" s="1"/>
  <c r="E317" i="2" s="1"/>
  <c r="D296" i="2"/>
  <c r="F296" i="2" s="1"/>
  <c r="F312" i="4"/>
  <c r="D313" i="4"/>
  <c r="F313" i="4" s="1"/>
  <c r="F309" i="4"/>
  <c r="F323" i="4"/>
  <c r="F325" i="4" s="1"/>
  <c r="F114" i="6"/>
  <c r="F117" i="6" s="1"/>
  <c r="D288" i="6"/>
  <c r="D296" i="6" s="1"/>
  <c r="F296" i="6" s="1"/>
  <c r="D302" i="6"/>
  <c r="D312" i="6"/>
  <c r="D313" i="6" s="1"/>
  <c r="F313" i="6" s="1"/>
  <c r="F323" i="6"/>
  <c r="F325" i="6" s="1"/>
  <c r="F88" i="7"/>
  <c r="F89" i="7"/>
  <c r="D50" i="7"/>
  <c r="D39" i="7"/>
  <c r="F39" i="7" s="1"/>
  <c r="D37" i="7"/>
  <c r="D51" i="7"/>
  <c r="F51" i="7" s="1"/>
  <c r="D38" i="7"/>
  <c r="F38" i="7" s="1"/>
  <c r="F77" i="7"/>
  <c r="D76" i="7"/>
  <c r="F76" i="7" s="1"/>
  <c r="F42" i="7"/>
  <c r="F44" i="7" s="1"/>
  <c r="D19" i="7"/>
  <c r="F19" i="7" s="1"/>
  <c r="D6" i="7"/>
  <c r="F6" i="7" s="1"/>
  <c r="D20" i="7"/>
  <c r="D7" i="7"/>
  <c r="D62" i="7"/>
  <c r="D8" i="7"/>
  <c r="F47" i="7"/>
  <c r="D52" i="7"/>
  <c r="D48" i="7"/>
  <c r="F11" i="7"/>
  <c r="F13" i="7" s="1"/>
  <c r="D31" i="7"/>
  <c r="F16" i="7"/>
  <c r="D21" i="7"/>
  <c r="F21" i="7" s="1"/>
  <c r="D17" i="7"/>
  <c r="D288" i="1"/>
  <c r="F332" i="1"/>
  <c r="F334" i="1" s="1"/>
  <c r="F326" i="1" s="1"/>
  <c r="E326" i="1" s="1"/>
  <c r="F321" i="1"/>
  <c r="F323" i="1" s="1"/>
  <c r="F315" i="1" s="1"/>
  <c r="F239" i="1"/>
  <c r="F104" i="1"/>
  <c r="D103" i="1"/>
  <c r="F103" i="1" s="1"/>
  <c r="D82" i="1"/>
  <c r="F82" i="1" s="1"/>
  <c r="D92" i="1"/>
  <c r="F92" i="1" s="1"/>
  <c r="D91" i="1"/>
  <c r="F91" i="1" s="1"/>
  <c r="D93" i="1"/>
  <c r="F93" i="1" s="1"/>
  <c r="F114" i="1"/>
  <c r="F117" i="1" s="1"/>
  <c r="D32" i="1"/>
  <c r="F32" i="1" s="1"/>
  <c r="F33" i="1" s="1"/>
  <c r="F30" i="1" s="1"/>
  <c r="E30" i="1" s="1"/>
  <c r="D277" i="1"/>
  <c r="F277" i="1" s="1"/>
  <c r="F81" i="1"/>
  <c r="D54" i="1"/>
  <c r="F54" i="1" s="1"/>
  <c r="D43" i="1"/>
  <c r="F43" i="1" s="1"/>
  <c r="D45" i="1"/>
  <c r="D55" i="1"/>
  <c r="F55" i="1" s="1"/>
  <c r="D50" i="1"/>
  <c r="D44" i="1"/>
  <c r="D134" i="1"/>
  <c r="F131" i="1"/>
  <c r="D98" i="1"/>
  <c r="F98" i="1" s="1"/>
  <c r="F97" i="1"/>
  <c r="F22" i="1"/>
  <c r="E22" i="1" s="1"/>
  <c r="F25" i="1"/>
  <c r="D156" i="1"/>
  <c r="F156" i="1" s="1"/>
  <c r="F153" i="1"/>
  <c r="D127" i="1"/>
  <c r="F127" i="1" s="1"/>
  <c r="F128" i="1" s="1"/>
  <c r="D149" i="1"/>
  <c r="F149" i="1" s="1"/>
  <c r="F150" i="1" s="1"/>
  <c r="D5" i="1"/>
  <c r="F5" i="1" s="1"/>
  <c r="F6" i="1" s="1"/>
  <c r="F3" i="1" s="1"/>
  <c r="E3" i="1" s="1"/>
  <c r="D86" i="1"/>
  <c r="D108" i="1"/>
  <c r="D259" i="1"/>
  <c r="D264" i="1" s="1"/>
  <c r="F264" i="1" s="1"/>
  <c r="D16" i="1"/>
  <c r="F16" i="1" s="1"/>
  <c r="D80" i="1"/>
  <c r="F80" i="1" s="1"/>
  <c r="D102" i="1"/>
  <c r="F102" i="1" s="1"/>
  <c r="D59" i="1"/>
  <c r="F120" i="1"/>
  <c r="F122" i="1" s="1"/>
  <c r="F10" i="1"/>
  <c r="F11" i="1" s="1"/>
  <c r="F7" i="1" s="1"/>
  <c r="E7" i="1" s="1"/>
  <c r="D104" i="6"/>
  <c r="F104" i="6" s="1"/>
  <c r="D82" i="6"/>
  <c r="F82" i="6" s="1"/>
  <c r="D32" i="6"/>
  <c r="F32" i="6" s="1"/>
  <c r="F33" i="6" s="1"/>
  <c r="F30" i="6" s="1"/>
  <c r="E30" i="6" s="1"/>
  <c r="D91" i="6"/>
  <c r="F91" i="6" s="1"/>
  <c r="D44" i="6"/>
  <c r="F44" i="6" s="1"/>
  <c r="D45" i="6"/>
  <c r="F45" i="6" s="1"/>
  <c r="D279" i="6"/>
  <c r="F279" i="6" s="1"/>
  <c r="D93" i="6"/>
  <c r="F93" i="6" s="1"/>
  <c r="D283" i="6"/>
  <c r="D284" i="6" s="1"/>
  <c r="F284" i="6" s="1"/>
  <c r="F81" i="6"/>
  <c r="F97" i="6"/>
  <c r="F99" i="6" s="1"/>
  <c r="D92" i="6"/>
  <c r="F92" i="6" s="1"/>
  <c r="F22" i="6"/>
  <c r="E22" i="6" s="1"/>
  <c r="F103" i="6"/>
  <c r="D153" i="6"/>
  <c r="D149" i="6"/>
  <c r="F149" i="6" s="1"/>
  <c r="F150" i="6" s="1"/>
  <c r="D73" i="6"/>
  <c r="F73" i="6" s="1"/>
  <c r="D62" i="6"/>
  <c r="F62" i="6" s="1"/>
  <c r="D72" i="6"/>
  <c r="F72" i="6" s="1"/>
  <c r="D61" i="6"/>
  <c r="F61" i="6" s="1"/>
  <c r="D68" i="6"/>
  <c r="D131" i="6"/>
  <c r="D127" i="6"/>
  <c r="F127" i="6" s="1"/>
  <c r="F128" i="6" s="1"/>
  <c r="D5" i="6"/>
  <c r="F5" i="6" s="1"/>
  <c r="F6" i="6" s="1"/>
  <c r="F3" i="6" s="1"/>
  <c r="E3" i="6" s="1"/>
  <c r="D63" i="6"/>
  <c r="F63" i="6" s="1"/>
  <c r="F10" i="6"/>
  <c r="F11" i="6" s="1"/>
  <c r="F7" i="6" s="1"/>
  <c r="E7" i="6" s="1"/>
  <c r="D54" i="6"/>
  <c r="F54" i="6" s="1"/>
  <c r="D43" i="6"/>
  <c r="F43" i="6" s="1"/>
  <c r="D50" i="6"/>
  <c r="D86" i="6"/>
  <c r="D108" i="6"/>
  <c r="D16" i="6"/>
  <c r="F16" i="6" s="1"/>
  <c r="D80" i="6"/>
  <c r="F80" i="6" s="1"/>
  <c r="D102" i="6"/>
  <c r="F102" i="6" s="1"/>
  <c r="F120" i="6"/>
  <c r="F122" i="6" s="1"/>
  <c r="D82" i="4"/>
  <c r="F82" i="4" s="1"/>
  <c r="D91" i="4"/>
  <c r="F91" i="4" s="1"/>
  <c r="D92" i="4"/>
  <c r="F92" i="4" s="1"/>
  <c r="D36" i="4"/>
  <c r="F36" i="4" s="1"/>
  <c r="F37" i="4" s="1"/>
  <c r="F30" i="4" s="1"/>
  <c r="D93" i="4"/>
  <c r="F93" i="4" s="1"/>
  <c r="F173" i="4"/>
  <c r="F174" i="4" s="1"/>
  <c r="F81" i="4"/>
  <c r="F103" i="4"/>
  <c r="F25" i="4"/>
  <c r="F22" i="4"/>
  <c r="E22" i="4" s="1"/>
  <c r="D98" i="4"/>
  <c r="F98" i="4" s="1"/>
  <c r="F97" i="4"/>
  <c r="D54" i="4"/>
  <c r="F54" i="4" s="1"/>
  <c r="D43" i="4"/>
  <c r="F43" i="4" s="1"/>
  <c r="D50" i="4"/>
  <c r="D55" i="4"/>
  <c r="F55" i="4" s="1"/>
  <c r="D45" i="4"/>
  <c r="F45" i="4" s="1"/>
  <c r="D44" i="4"/>
  <c r="F44" i="4" s="1"/>
  <c r="F131" i="4"/>
  <c r="D134" i="4"/>
  <c r="D73" i="4"/>
  <c r="F73" i="4" s="1"/>
  <c r="D62" i="4"/>
  <c r="F62" i="4" s="1"/>
  <c r="D68" i="4"/>
  <c r="D72" i="4"/>
  <c r="F72" i="4" s="1"/>
  <c r="D61" i="4"/>
  <c r="F61" i="4" s="1"/>
  <c r="D63" i="4"/>
  <c r="F63" i="4" s="1"/>
  <c r="F153" i="4"/>
  <c r="D156" i="4"/>
  <c r="F156" i="4" s="1"/>
  <c r="E3" i="4"/>
  <c r="D127" i="4"/>
  <c r="F127" i="4" s="1"/>
  <c r="F128" i="4" s="1"/>
  <c r="D149" i="4"/>
  <c r="F149" i="4" s="1"/>
  <c r="F150" i="4" s="1"/>
  <c r="D86" i="4"/>
  <c r="D16" i="4"/>
  <c r="F16" i="4" s="1"/>
  <c r="D80" i="4"/>
  <c r="F80" i="4" s="1"/>
  <c r="D102" i="4"/>
  <c r="F102" i="4" s="1"/>
  <c r="F120" i="4"/>
  <c r="F122" i="4" s="1"/>
  <c r="F10" i="4"/>
  <c r="F11" i="4" s="1"/>
  <c r="F7" i="4" s="1"/>
  <c r="E7" i="4" s="1"/>
  <c r="D108" i="4"/>
  <c r="D250" i="2"/>
  <c r="F250" i="2" s="1"/>
  <c r="F114" i="2"/>
  <c r="F117" i="2" s="1"/>
  <c r="D91" i="2"/>
  <c r="F91" i="2" s="1"/>
  <c r="D92" i="2"/>
  <c r="F92" i="2" s="1"/>
  <c r="D32" i="2"/>
  <c r="F32" i="2" s="1"/>
  <c r="F33" i="2" s="1"/>
  <c r="F30" i="2" s="1"/>
  <c r="E30" i="2" s="1"/>
  <c r="D93" i="2"/>
  <c r="F93" i="2" s="1"/>
  <c r="F277" i="2"/>
  <c r="F25" i="2"/>
  <c r="F22" i="2"/>
  <c r="E22" i="2" s="1"/>
  <c r="D103" i="2"/>
  <c r="F103" i="2" s="1"/>
  <c r="D102" i="2"/>
  <c r="F102" i="2" s="1"/>
  <c r="D81" i="2"/>
  <c r="F81" i="2" s="1"/>
  <c r="D80" i="2"/>
  <c r="F80" i="2" s="1"/>
  <c r="E3" i="2"/>
  <c r="D54" i="2"/>
  <c r="F54" i="2" s="1"/>
  <c r="D43" i="2"/>
  <c r="F43" i="2" s="1"/>
  <c r="D50" i="2"/>
  <c r="D59" i="2"/>
  <c r="D44" i="2"/>
  <c r="F44" i="2" s="1"/>
  <c r="D45" i="2"/>
  <c r="F45" i="2" s="1"/>
  <c r="D104" i="2"/>
  <c r="F104" i="2" s="1"/>
  <c r="D134" i="2"/>
  <c r="F131" i="2"/>
  <c r="D156" i="2"/>
  <c r="F156" i="2" s="1"/>
  <c r="F153" i="2"/>
  <c r="D82" i="2"/>
  <c r="F82" i="2" s="1"/>
  <c r="F10" i="2"/>
  <c r="F11" i="2" s="1"/>
  <c r="F7" i="2" s="1"/>
  <c r="E7" i="2" s="1"/>
  <c r="F97" i="2"/>
  <c r="F99" i="2" s="1"/>
  <c r="D127" i="2"/>
  <c r="F127" i="2" s="1"/>
  <c r="F128" i="2" s="1"/>
  <c r="D149" i="2"/>
  <c r="F149" i="2" s="1"/>
  <c r="F150" i="2" s="1"/>
  <c r="D55" i="2"/>
  <c r="F55" i="2" s="1"/>
  <c r="D108" i="2"/>
  <c r="D20" i="2"/>
  <c r="F20" i="2" s="1"/>
  <c r="F21" i="2" s="1"/>
  <c r="D16" i="2"/>
  <c r="F16" i="2" s="1"/>
  <c r="D86" i="2"/>
  <c r="F120" i="2"/>
  <c r="F122" i="2" s="1"/>
  <c r="F117" i="5"/>
  <c r="F92" i="5"/>
  <c r="D9" i="5"/>
  <c r="F9" i="5" s="1"/>
  <c r="F10" i="5"/>
  <c r="D91" i="5"/>
  <c r="F91" i="5" s="1"/>
  <c r="D32" i="5"/>
  <c r="F32" i="5" s="1"/>
  <c r="F33" i="5" s="1"/>
  <c r="F30" i="5" s="1"/>
  <c r="E30" i="5" s="1"/>
  <c r="D93" i="5"/>
  <c r="F93" i="5" s="1"/>
  <c r="D127" i="5"/>
  <c r="D97" i="5"/>
  <c r="D98" i="5" s="1"/>
  <c r="F98" i="5" s="1"/>
  <c r="F25" i="5"/>
  <c r="F22" i="5"/>
  <c r="E22" i="5" s="1"/>
  <c r="E3" i="5"/>
  <c r="D20" i="5"/>
  <c r="F20" i="5" s="1"/>
  <c r="F21" i="5" s="1"/>
  <c r="D16" i="5"/>
  <c r="D54" i="5"/>
  <c r="F54" i="5" s="1"/>
  <c r="D43" i="5"/>
  <c r="F43" i="5" s="1"/>
  <c r="D50" i="5"/>
  <c r="D103" i="5"/>
  <c r="D102" i="5"/>
  <c r="F102" i="5" s="1"/>
  <c r="D108" i="5"/>
  <c r="D61" i="5"/>
  <c r="F61" i="5" s="1"/>
  <c r="D72" i="5"/>
  <c r="F72" i="5" s="1"/>
  <c r="D68" i="5"/>
  <c r="D81" i="5"/>
  <c r="D80" i="5"/>
  <c r="D86" i="5"/>
  <c r="D44" i="5"/>
  <c r="D62" i="5"/>
  <c r="F62" i="5" s="1"/>
  <c r="D156" i="5"/>
  <c r="F156" i="5" s="1"/>
  <c r="F153" i="5"/>
  <c r="D45" i="5"/>
  <c r="D63" i="5"/>
  <c r="F63" i="5" s="1"/>
  <c r="D104" i="5"/>
  <c r="F104" i="5" s="1"/>
  <c r="D134" i="5"/>
  <c r="F131" i="5"/>
  <c r="D82" i="5"/>
  <c r="F82" i="5" s="1"/>
  <c r="D149" i="5"/>
  <c r="F149" i="5" s="1"/>
  <c r="F150" i="5" s="1"/>
  <c r="F120" i="5"/>
  <c r="F122" i="5" s="1"/>
  <c r="D153" i="3"/>
  <c r="D156" i="3" s="1"/>
  <c r="F156" i="3" s="1"/>
  <c r="D93" i="3"/>
  <c r="D97" i="3"/>
  <c r="D98" i="3" s="1"/>
  <c r="F98" i="3" s="1"/>
  <c r="D108" i="3"/>
  <c r="D109" i="3" s="1"/>
  <c r="F109" i="3" s="1"/>
  <c r="D131" i="3"/>
  <c r="D59" i="3"/>
  <c r="D72" i="3" s="1"/>
  <c r="F72" i="3" s="1"/>
  <c r="D86" i="3"/>
  <c r="D87" i="3" s="1"/>
  <c r="F87" i="3" s="1"/>
  <c r="D91" i="3"/>
  <c r="F91" i="3" s="1"/>
  <c r="D102" i="3"/>
  <c r="F102" i="3" s="1"/>
  <c r="D103" i="3"/>
  <c r="F103" i="3" s="1"/>
  <c r="D80" i="3"/>
  <c r="F80" i="3" s="1"/>
  <c r="D81" i="3"/>
  <c r="F81" i="3" s="1"/>
  <c r="F115" i="3"/>
  <c r="D50" i="3"/>
  <c r="D46" i="3" s="1"/>
  <c r="F46" i="3" s="1"/>
  <c r="F82" i="3"/>
  <c r="F114" i="3"/>
  <c r="D36" i="3"/>
  <c r="F120" i="3"/>
  <c r="F122" i="3" s="1"/>
  <c r="D61" i="3"/>
  <c r="F61" i="3" s="1"/>
  <c r="D24" i="3"/>
  <c r="F24" i="3" s="1"/>
  <c r="F240" i="3"/>
  <c r="F10" i="3"/>
  <c r="F11" i="3" s="1"/>
  <c r="F7" i="3" s="1"/>
  <c r="E7" i="3" s="1"/>
  <c r="F281" i="3"/>
  <c r="F93" i="3"/>
  <c r="D251" i="3"/>
  <c r="F251" i="3" s="1"/>
  <c r="F104" i="3"/>
  <c r="F92" i="3"/>
  <c r="F250" i="3"/>
  <c r="D255" i="3"/>
  <c r="D256" i="3" s="1"/>
  <c r="F256" i="3" s="1"/>
  <c r="F108" i="3"/>
  <c r="F174" i="3"/>
  <c r="F175" i="3" s="1"/>
  <c r="D260" i="3"/>
  <c r="D273" i="3" s="1"/>
  <c r="D272" i="3" s="1"/>
  <c r="F272" i="3" s="1"/>
  <c r="D285" i="3"/>
  <c r="D279" i="3"/>
  <c r="F279" i="3" s="1"/>
  <c r="F243" i="3"/>
  <c r="F245" i="3" s="1"/>
  <c r="D280" i="3"/>
  <c r="F280" i="3" s="1"/>
  <c r="D243" i="5"/>
  <c r="F243" i="5" s="1"/>
  <c r="F244" i="5" s="1"/>
  <c r="F235" i="5" s="1"/>
  <c r="E235" i="5" s="1"/>
  <c r="F249" i="5"/>
  <c r="D254" i="5"/>
  <c r="F254" i="5" s="1"/>
  <c r="D162" i="3"/>
  <c r="F162" i="3" s="1"/>
  <c r="D163" i="3"/>
  <c r="F163" i="3" s="1"/>
  <c r="D168" i="3"/>
  <c r="D169" i="3" s="1"/>
  <c r="F169" i="3" s="1"/>
  <c r="F208" i="3"/>
  <c r="D178" i="3"/>
  <c r="F178" i="3" s="1"/>
  <c r="D188" i="3"/>
  <c r="F188" i="3" s="1"/>
  <c r="D20" i="3"/>
  <c r="F20" i="3" s="1"/>
  <c r="F21" i="3" s="1"/>
  <c r="D192" i="3"/>
  <c r="F192" i="3" s="1"/>
  <c r="F194" i="3" s="1"/>
  <c r="D233" i="3"/>
  <c r="F233" i="3" s="1"/>
  <c r="F234" i="3" s="1"/>
  <c r="D200" i="3"/>
  <c r="F200" i="3" s="1"/>
  <c r="D201" i="3"/>
  <c r="F201" i="3" s="1"/>
  <c r="D212" i="3"/>
  <c r="D213" i="3" s="1"/>
  <c r="F213" i="3" s="1"/>
  <c r="D222" i="3"/>
  <c r="F222" i="3" s="1"/>
  <c r="D223" i="3"/>
  <c r="F223" i="3" s="1"/>
  <c r="D284" i="5"/>
  <c r="D250" i="5"/>
  <c r="F250" i="5" s="1"/>
  <c r="D259" i="5"/>
  <c r="D200" i="5"/>
  <c r="F200" i="5" s="1"/>
  <c r="D207" i="5"/>
  <c r="D202" i="5" s="1"/>
  <c r="F202" i="5" s="1"/>
  <c r="D162" i="5"/>
  <c r="D163" i="5"/>
  <c r="F163" i="5" s="1"/>
  <c r="D164" i="5"/>
  <c r="F164" i="5" s="1"/>
  <c r="D221" i="5"/>
  <c r="F221" i="5" s="1"/>
  <c r="D173" i="5"/>
  <c r="D222" i="5"/>
  <c r="F222" i="5" s="1"/>
  <c r="D232" i="5"/>
  <c r="F232" i="5" s="1"/>
  <c r="F233" i="5" s="1"/>
  <c r="D199" i="5"/>
  <c r="F199" i="5" s="1"/>
  <c r="D243" i="2"/>
  <c r="F243" i="2" s="1"/>
  <c r="F244" i="2" s="1"/>
  <c r="D279" i="2"/>
  <c r="F279" i="2" s="1"/>
  <c r="D278" i="2"/>
  <c r="F278" i="2" s="1"/>
  <c r="F254" i="2"/>
  <c r="F256" i="2" s="1"/>
  <c r="D259" i="2"/>
  <c r="D249" i="2"/>
  <c r="F249" i="2" s="1"/>
  <c r="D283" i="2"/>
  <c r="D183" i="2"/>
  <c r="D186" i="2" s="1"/>
  <c r="F186" i="2" s="1"/>
  <c r="D206" i="4"/>
  <c r="F206" i="4" s="1"/>
  <c r="D177" i="4"/>
  <c r="D178" i="4" s="1"/>
  <c r="F178" i="4" s="1"/>
  <c r="F249" i="4"/>
  <c r="D259" i="4"/>
  <c r="D162" i="6"/>
  <c r="F162" i="6" s="1"/>
  <c r="D164" i="6"/>
  <c r="F164" i="6" s="1"/>
  <c r="D278" i="6"/>
  <c r="F278" i="6" s="1"/>
  <c r="D271" i="6"/>
  <c r="F271" i="6" s="1"/>
  <c r="D265" i="6"/>
  <c r="F265" i="6" s="1"/>
  <c r="F277" i="6"/>
  <c r="D198" i="2"/>
  <c r="F198" i="2" s="1"/>
  <c r="D162" i="2"/>
  <c r="F162" i="2" s="1"/>
  <c r="D199" i="2"/>
  <c r="F199" i="2" s="1"/>
  <c r="D163" i="2"/>
  <c r="F163" i="2" s="1"/>
  <c r="D200" i="2"/>
  <c r="F200" i="2" s="1"/>
  <c r="D164" i="2"/>
  <c r="F164" i="2" s="1"/>
  <c r="D211" i="2"/>
  <c r="D212" i="2" s="1"/>
  <c r="D226" i="2" s="1"/>
  <c r="F226" i="2" s="1"/>
  <c r="D221" i="2"/>
  <c r="F221" i="2" s="1"/>
  <c r="D222" i="2"/>
  <c r="F222" i="2" s="1"/>
  <c r="D232" i="2"/>
  <c r="F232" i="2" s="1"/>
  <c r="F233" i="2" s="1"/>
  <c r="D265" i="4"/>
  <c r="F265" i="4" s="1"/>
  <c r="D261" i="4"/>
  <c r="F261" i="4" s="1"/>
  <c r="D250" i="4"/>
  <c r="F250" i="4" s="1"/>
  <c r="D220" i="4"/>
  <c r="F220" i="4" s="1"/>
  <c r="D254" i="4"/>
  <c r="D255" i="4" s="1"/>
  <c r="F255" i="4" s="1"/>
  <c r="D198" i="4"/>
  <c r="F198" i="4" s="1"/>
  <c r="D221" i="4"/>
  <c r="F221" i="4" s="1"/>
  <c r="D199" i="4"/>
  <c r="F199" i="4" s="1"/>
  <c r="D222" i="4"/>
  <c r="F222" i="4" s="1"/>
  <c r="D231" i="4"/>
  <c r="F231" i="4" s="1"/>
  <c r="F233" i="4" s="1"/>
  <c r="D200" i="4"/>
  <c r="F200" i="4" s="1"/>
  <c r="D262" i="4"/>
  <c r="F262" i="4" s="1"/>
  <c r="F239" i="4"/>
  <c r="D162" i="4"/>
  <c r="F162" i="4" s="1"/>
  <c r="D163" i="4"/>
  <c r="F163" i="4" s="1"/>
  <c r="D164" i="4"/>
  <c r="F164" i="4" s="1"/>
  <c r="F242" i="6"/>
  <c r="F244" i="6" s="1"/>
  <c r="D177" i="6"/>
  <c r="D178" i="6" s="1"/>
  <c r="F178" i="6" s="1"/>
  <c r="F239" i="6"/>
  <c r="D263" i="6"/>
  <c r="F263" i="6" s="1"/>
  <c r="D278" i="1"/>
  <c r="F278" i="1" s="1"/>
  <c r="D279" i="1"/>
  <c r="F279" i="1" s="1"/>
  <c r="D226" i="1"/>
  <c r="D227" i="1"/>
  <c r="D232" i="1"/>
  <c r="F232" i="1" s="1"/>
  <c r="F233" i="1" s="1"/>
  <c r="D173" i="1"/>
  <c r="F173" i="1" s="1"/>
  <c r="F174" i="1" s="1"/>
  <c r="D211" i="1"/>
  <c r="F211" i="1" s="1"/>
  <c r="F242" i="1"/>
  <c r="F244" i="1" s="1"/>
  <c r="D198" i="1"/>
  <c r="F198" i="1" s="1"/>
  <c r="D220" i="1"/>
  <c r="F220" i="1" s="1"/>
  <c r="D162" i="1"/>
  <c r="F162" i="1" s="1"/>
  <c r="D199" i="1"/>
  <c r="F199" i="1" s="1"/>
  <c r="D163" i="1"/>
  <c r="F163" i="1" s="1"/>
  <c r="D200" i="1"/>
  <c r="F200" i="1" s="1"/>
  <c r="D221" i="1"/>
  <c r="F221" i="1" s="1"/>
  <c r="D164" i="1"/>
  <c r="F164" i="1" s="1"/>
  <c r="D201" i="1"/>
  <c r="F201" i="1" s="1"/>
  <c r="D222" i="1"/>
  <c r="F222" i="1" s="1"/>
  <c r="D207" i="1"/>
  <c r="D179" i="3"/>
  <c r="F179" i="3" s="1"/>
  <c r="D54" i="3"/>
  <c r="F54" i="3" s="1"/>
  <c r="D44" i="3"/>
  <c r="F44" i="3" s="1"/>
  <c r="D55" i="3"/>
  <c r="F55" i="3" s="1"/>
  <c r="D45" i="3"/>
  <c r="F45" i="3" s="1"/>
  <c r="D187" i="3"/>
  <c r="F187" i="3" s="1"/>
  <c r="D186" i="3"/>
  <c r="F186" i="3" s="1"/>
  <c r="D207" i="3"/>
  <c r="D199" i="3"/>
  <c r="F199" i="3" s="1"/>
  <c r="D221" i="3"/>
  <c r="F221" i="3" s="1"/>
  <c r="D227" i="5"/>
  <c r="F227" i="5" s="1"/>
  <c r="F212" i="5"/>
  <c r="D226" i="5"/>
  <c r="F226" i="5" s="1"/>
  <c r="F211" i="5"/>
  <c r="D178" i="5"/>
  <c r="F178" i="5" s="1"/>
  <c r="F177" i="5"/>
  <c r="D183" i="5"/>
  <c r="F168" i="5"/>
  <c r="F170" i="5" s="1"/>
  <c r="D206" i="5"/>
  <c r="D198" i="5"/>
  <c r="F198" i="5" s="1"/>
  <c r="D220" i="5"/>
  <c r="F220" i="5" s="1"/>
  <c r="D227" i="4"/>
  <c r="F227" i="4" s="1"/>
  <c r="D226" i="4"/>
  <c r="F226" i="4" s="1"/>
  <c r="F212" i="4"/>
  <c r="D183" i="4"/>
  <c r="F207" i="4"/>
  <c r="F242" i="4"/>
  <c r="F244" i="4" s="1"/>
  <c r="F211" i="4"/>
  <c r="F213" i="4" s="1"/>
  <c r="F168" i="4"/>
  <c r="F170" i="4" s="1"/>
  <c r="D186" i="6"/>
  <c r="F186" i="6" s="1"/>
  <c r="D191" i="6"/>
  <c r="F191" i="6" s="1"/>
  <c r="D187" i="6"/>
  <c r="F187" i="6" s="1"/>
  <c r="D185" i="6"/>
  <c r="F185" i="6" s="1"/>
  <c r="D192" i="6"/>
  <c r="F192" i="6" s="1"/>
  <c r="D202" i="6"/>
  <c r="F202" i="6" s="1"/>
  <c r="F207" i="6"/>
  <c r="D250" i="6"/>
  <c r="F250" i="6" s="1"/>
  <c r="D254" i="6"/>
  <c r="D249" i="6"/>
  <c r="F249" i="6" s="1"/>
  <c r="D199" i="6"/>
  <c r="F199" i="6" s="1"/>
  <c r="D266" i="6"/>
  <c r="F266" i="6" s="1"/>
  <c r="D221" i="6"/>
  <c r="F221" i="6" s="1"/>
  <c r="D232" i="6"/>
  <c r="F232" i="6" s="1"/>
  <c r="F233" i="6" s="1"/>
  <c r="D262" i="6"/>
  <c r="F262" i="6" s="1"/>
  <c r="D163" i="6"/>
  <c r="F163" i="6" s="1"/>
  <c r="D200" i="6"/>
  <c r="F200" i="6" s="1"/>
  <c r="D211" i="6"/>
  <c r="D222" i="6"/>
  <c r="F222" i="6" s="1"/>
  <c r="F168" i="6"/>
  <c r="F170" i="6" s="1"/>
  <c r="D264" i="6"/>
  <c r="F264" i="6" s="1"/>
  <c r="D206" i="6"/>
  <c r="D261" i="6"/>
  <c r="F261" i="6" s="1"/>
  <c r="D198" i="6"/>
  <c r="F198" i="6" s="1"/>
  <c r="D220" i="6"/>
  <c r="F220" i="6" s="1"/>
  <c r="F254" i="1"/>
  <c r="F256" i="1" s="1"/>
  <c r="D183" i="1"/>
  <c r="D178" i="1"/>
  <c r="F178" i="1" s="1"/>
  <c r="F177" i="1"/>
  <c r="D250" i="1"/>
  <c r="F250" i="1" s="1"/>
  <c r="D249" i="1"/>
  <c r="F249" i="1" s="1"/>
  <c r="F168" i="1"/>
  <c r="F170" i="1" s="1"/>
  <c r="F283" i="1"/>
  <c r="F285" i="1" s="1"/>
  <c r="D178" i="2"/>
  <c r="F178" i="2" s="1"/>
  <c r="F177" i="2"/>
  <c r="D202" i="2"/>
  <c r="F202" i="2" s="1"/>
  <c r="F207" i="2"/>
  <c r="D173" i="2"/>
  <c r="F173" i="2" s="1"/>
  <c r="F174" i="2" s="1"/>
  <c r="F168" i="2"/>
  <c r="F170" i="2" s="1"/>
  <c r="D206" i="2"/>
  <c r="D63" i="3" l="1"/>
  <c r="F63" i="3" s="1"/>
  <c r="D266" i="4"/>
  <c r="F266" i="4" s="1"/>
  <c r="D275" i="4"/>
  <c r="D62" i="3"/>
  <c r="F62" i="3" s="1"/>
  <c r="F45" i="1"/>
  <c r="F281" i="5"/>
  <c r="F314" i="1"/>
  <c r="F306" i="1" s="1"/>
  <c r="E306" i="1" s="1"/>
  <c r="F112" i="4"/>
  <c r="E112" i="4" s="1"/>
  <c r="E30" i="4"/>
  <c r="F44" i="1"/>
  <c r="E327" i="5"/>
  <c r="F110" i="7"/>
  <c r="D37" i="9"/>
  <c r="F37" i="9" s="1"/>
  <c r="F317" i="6"/>
  <c r="E317" i="6" s="1"/>
  <c r="F317" i="4"/>
  <c r="E317" i="4" s="1"/>
  <c r="D114" i="7"/>
  <c r="D109" i="7" s="1"/>
  <c r="F109" i="7" s="1"/>
  <c r="F111" i="7" s="1"/>
  <c r="F120" i="7"/>
  <c r="F85" i="7"/>
  <c r="D13" i="9"/>
  <c r="F13" i="9" s="1"/>
  <c r="F52" i="7"/>
  <c r="D17" i="9"/>
  <c r="F17" i="9" s="1"/>
  <c r="F37" i="7"/>
  <c r="F40" i="7" s="1"/>
  <c r="F35" i="7" s="1"/>
  <c r="E35" i="7" s="1"/>
  <c r="D5" i="9"/>
  <c r="F5" i="9" s="1"/>
  <c r="F8" i="7"/>
  <c r="D28" i="9"/>
  <c r="F28" i="9" s="1"/>
  <c r="F50" i="7"/>
  <c r="D15" i="9"/>
  <c r="F15" i="9" s="1"/>
  <c r="F7" i="7"/>
  <c r="D32" i="9"/>
  <c r="F32" i="9" s="1"/>
  <c r="F20" i="7"/>
  <c r="D16" i="9"/>
  <c r="F16" i="9" s="1"/>
  <c r="D103" i="7"/>
  <c r="F103" i="7" s="1"/>
  <c r="F102" i="7"/>
  <c r="D105" i="7"/>
  <c r="F105" i="7" s="1"/>
  <c r="F104" i="7"/>
  <c r="F106" i="7" s="1"/>
  <c r="F339" i="5"/>
  <c r="D343" i="5"/>
  <c r="F343" i="5" s="1"/>
  <c r="D341" i="5"/>
  <c r="F341" i="5" s="1"/>
  <c r="D342" i="5"/>
  <c r="F342" i="5" s="1"/>
  <c r="D340" i="5"/>
  <c r="F340" i="5" s="1"/>
  <c r="D303" i="5"/>
  <c r="D298" i="5"/>
  <c r="F298" i="5" s="1"/>
  <c r="F213" i="5"/>
  <c r="D295" i="5"/>
  <c r="F173" i="5"/>
  <c r="F174" i="5" s="1"/>
  <c r="D33" i="9"/>
  <c r="F33" i="9" s="1"/>
  <c r="F127" i="5"/>
  <c r="F128" i="5" s="1"/>
  <c r="D36" i="9"/>
  <c r="F36" i="9" s="1"/>
  <c r="F295" i="5"/>
  <c r="F45" i="5"/>
  <c r="F103" i="5"/>
  <c r="F105" i="5" s="1"/>
  <c r="D10" i="9"/>
  <c r="F10" i="9" s="1"/>
  <c r="F293" i="5"/>
  <c r="F162" i="5"/>
  <c r="D35" i="9"/>
  <c r="F35" i="9" s="1"/>
  <c r="F44" i="5"/>
  <c r="F16" i="5"/>
  <c r="F14" i="5" s="1"/>
  <c r="E14" i="5" s="1"/>
  <c r="D34" i="9"/>
  <c r="F34" i="9" s="1"/>
  <c r="F80" i="5"/>
  <c r="D8" i="9"/>
  <c r="F8" i="9" s="1"/>
  <c r="F81" i="5"/>
  <c r="D9" i="9"/>
  <c r="F9" i="9" s="1"/>
  <c r="F294" i="5"/>
  <c r="D291" i="5"/>
  <c r="D292" i="5"/>
  <c r="D296" i="5"/>
  <c r="F296" i="5" s="1"/>
  <c r="F105" i="4"/>
  <c r="F78" i="7"/>
  <c r="F68" i="7" s="1"/>
  <c r="F235" i="2"/>
  <c r="E235" i="2" s="1"/>
  <c r="D220" i="2"/>
  <c r="F220" i="2" s="1"/>
  <c r="F300" i="3"/>
  <c r="F290" i="3" s="1"/>
  <c r="E290" i="3" s="1"/>
  <c r="D263" i="4"/>
  <c r="F263" i="4" s="1"/>
  <c r="D292" i="6"/>
  <c r="F292" i="6" s="1"/>
  <c r="D291" i="6"/>
  <c r="F291" i="6" s="1"/>
  <c r="D297" i="6"/>
  <c r="F297" i="6" s="1"/>
  <c r="F112" i="6"/>
  <c r="E112" i="6" s="1"/>
  <c r="F303" i="5"/>
  <c r="D302" i="5"/>
  <c r="F302" i="5" s="1"/>
  <c r="F304" i="5" s="1"/>
  <c r="D293" i="2"/>
  <c r="F293" i="2" s="1"/>
  <c r="D294" i="2"/>
  <c r="F294" i="2" s="1"/>
  <c r="D302" i="2"/>
  <c r="D291" i="2"/>
  <c r="F291" i="2" s="1"/>
  <c r="D297" i="2"/>
  <c r="F297" i="2" s="1"/>
  <c r="D295" i="2"/>
  <c r="F295" i="2" s="1"/>
  <c r="D290" i="2"/>
  <c r="F290" i="2" s="1"/>
  <c r="F314" i="4"/>
  <c r="F306" i="4" s="1"/>
  <c r="E306" i="4" s="1"/>
  <c r="D295" i="6"/>
  <c r="F295" i="6" s="1"/>
  <c r="D290" i="6"/>
  <c r="F290" i="6" s="1"/>
  <c r="D293" i="6"/>
  <c r="F293" i="6" s="1"/>
  <c r="D294" i="6"/>
  <c r="F294" i="6" s="1"/>
  <c r="F302" i="6"/>
  <c r="D301" i="6"/>
  <c r="F301" i="6" s="1"/>
  <c r="F235" i="6"/>
  <c r="E235" i="6" s="1"/>
  <c r="F312" i="6"/>
  <c r="F314" i="6" s="1"/>
  <c r="F306" i="6" s="1"/>
  <c r="F90" i="7"/>
  <c r="D63" i="7"/>
  <c r="F63" i="7" s="1"/>
  <c r="F62" i="7"/>
  <c r="D57" i="7"/>
  <c r="D49" i="7"/>
  <c r="F48" i="7"/>
  <c r="D18" i="7"/>
  <c r="F18" i="7" s="1"/>
  <c r="F17" i="7"/>
  <c r="D32" i="7"/>
  <c r="F32" i="7" s="1"/>
  <c r="F31" i="7"/>
  <c r="D26" i="7"/>
  <c r="F235" i="1"/>
  <c r="E235" i="1" s="1"/>
  <c r="D295" i="1"/>
  <c r="F295" i="1" s="1"/>
  <c r="D297" i="1"/>
  <c r="F297" i="1" s="1"/>
  <c r="D296" i="1"/>
  <c r="F296" i="1" s="1"/>
  <c r="D291" i="1"/>
  <c r="F291" i="1" s="1"/>
  <c r="D290" i="1"/>
  <c r="F290" i="1" s="1"/>
  <c r="D294" i="1"/>
  <c r="F294" i="1" s="1"/>
  <c r="D293" i="1"/>
  <c r="F293" i="1" s="1"/>
  <c r="D292" i="1"/>
  <c r="F292" i="1" s="1"/>
  <c r="D302" i="1"/>
  <c r="F179" i="1"/>
  <c r="F171" i="1" s="1"/>
  <c r="E171" i="1" s="1"/>
  <c r="D262" i="1"/>
  <c r="F262" i="1" s="1"/>
  <c r="F112" i="1"/>
  <c r="E112" i="1" s="1"/>
  <c r="F110" i="3"/>
  <c r="F112" i="5"/>
  <c r="E112" i="5" s="1"/>
  <c r="F99" i="1"/>
  <c r="F94" i="1"/>
  <c r="F280" i="1"/>
  <c r="F275" i="1" s="1"/>
  <c r="E275" i="1" s="1"/>
  <c r="F105" i="1"/>
  <c r="F83" i="1"/>
  <c r="F154" i="1"/>
  <c r="F157" i="1" s="1"/>
  <c r="F147" i="1" s="1"/>
  <c r="E147" i="1" s="1"/>
  <c r="F134" i="1"/>
  <c r="D142" i="1"/>
  <c r="D56" i="1"/>
  <c r="F56" i="1" s="1"/>
  <c r="F57" i="1" s="1"/>
  <c r="F50" i="1"/>
  <c r="F51" i="1" s="1"/>
  <c r="D46" i="1"/>
  <c r="F46" i="1" s="1"/>
  <c r="F47" i="1" s="1"/>
  <c r="F14" i="1"/>
  <c r="E14" i="1" s="1"/>
  <c r="F17" i="1"/>
  <c r="D266" i="1"/>
  <c r="F266" i="1" s="1"/>
  <c r="D263" i="1"/>
  <c r="F263" i="1" s="1"/>
  <c r="D261" i="1"/>
  <c r="F261" i="1" s="1"/>
  <c r="D271" i="1"/>
  <c r="D265" i="1"/>
  <c r="F265" i="1" s="1"/>
  <c r="D109" i="1"/>
  <c r="F109" i="1" s="1"/>
  <c r="F108" i="1"/>
  <c r="F132" i="1"/>
  <c r="D73" i="1"/>
  <c r="F73" i="1" s="1"/>
  <c r="D62" i="1"/>
  <c r="F62" i="1" s="1"/>
  <c r="D72" i="1"/>
  <c r="F72" i="1" s="1"/>
  <c r="D61" i="1"/>
  <c r="F61" i="1" s="1"/>
  <c r="D68" i="1"/>
  <c r="D63" i="1"/>
  <c r="F63" i="1" s="1"/>
  <c r="F251" i="1"/>
  <c r="F247" i="1" s="1"/>
  <c r="E247" i="1" s="1"/>
  <c r="D87" i="1"/>
  <c r="F87" i="1" s="1"/>
  <c r="F86" i="1"/>
  <c r="F83" i="6"/>
  <c r="F94" i="6"/>
  <c r="F89" i="6" s="1"/>
  <c r="E89" i="6" s="1"/>
  <c r="F283" i="6"/>
  <c r="F285" i="6" s="1"/>
  <c r="F105" i="6"/>
  <c r="D109" i="6"/>
  <c r="F109" i="6" s="1"/>
  <c r="F108" i="6"/>
  <c r="D134" i="6"/>
  <c r="F131" i="6"/>
  <c r="D64" i="6"/>
  <c r="F64" i="6" s="1"/>
  <c r="F65" i="6" s="1"/>
  <c r="F68" i="6"/>
  <c r="F69" i="6" s="1"/>
  <c r="D74" i="6"/>
  <c r="F74" i="6" s="1"/>
  <c r="F75" i="6" s="1"/>
  <c r="F280" i="6"/>
  <c r="F165" i="6"/>
  <c r="F160" i="6" s="1"/>
  <c r="E160" i="6" s="1"/>
  <c r="F188" i="6"/>
  <c r="D156" i="6"/>
  <c r="F156" i="6" s="1"/>
  <c r="F153" i="6"/>
  <c r="D87" i="6"/>
  <c r="F87" i="6" s="1"/>
  <c r="F86" i="6"/>
  <c r="F50" i="6"/>
  <c r="F51" i="6" s="1"/>
  <c r="D46" i="6"/>
  <c r="F46" i="6" s="1"/>
  <c r="F47" i="6" s="1"/>
  <c r="D56" i="6"/>
  <c r="F56" i="6" s="1"/>
  <c r="F57" i="6" s="1"/>
  <c r="F14" i="6"/>
  <c r="E14" i="6" s="1"/>
  <c r="F17" i="6"/>
  <c r="F83" i="4"/>
  <c r="F99" i="4"/>
  <c r="F94" i="4"/>
  <c r="F177" i="4"/>
  <c r="F179" i="4" s="1"/>
  <c r="F171" i="4" s="1"/>
  <c r="E171" i="4" s="1"/>
  <c r="D201" i="4"/>
  <c r="F201" i="4" s="1"/>
  <c r="F208" i="4"/>
  <c r="F17" i="4"/>
  <c r="F14" i="4"/>
  <c r="E14" i="4" s="1"/>
  <c r="F68" i="4"/>
  <c r="F69" i="4" s="1"/>
  <c r="D74" i="4"/>
  <c r="F74" i="4" s="1"/>
  <c r="F75" i="4" s="1"/>
  <c r="D64" i="4"/>
  <c r="F64" i="4" s="1"/>
  <c r="F65" i="4" s="1"/>
  <c r="F154" i="4"/>
  <c r="F157" i="4" s="1"/>
  <c r="F147" i="4" s="1"/>
  <c r="E147" i="4" s="1"/>
  <c r="D46" i="4"/>
  <c r="F46" i="4" s="1"/>
  <c r="F47" i="4" s="1"/>
  <c r="D56" i="4"/>
  <c r="F56" i="4" s="1"/>
  <c r="F57" i="4" s="1"/>
  <c r="F50" i="4"/>
  <c r="F51" i="4" s="1"/>
  <c r="F251" i="4"/>
  <c r="F86" i="4"/>
  <c r="D87" i="4"/>
  <c r="F87" i="4" s="1"/>
  <c r="F134" i="4"/>
  <c r="D142" i="4"/>
  <c r="D264" i="4"/>
  <c r="F264" i="4" s="1"/>
  <c r="F267" i="4" s="1"/>
  <c r="F132" i="4"/>
  <c r="F135" i="4" s="1"/>
  <c r="F125" i="4" s="1"/>
  <c r="E125" i="4" s="1"/>
  <c r="F108" i="4"/>
  <c r="D109" i="4"/>
  <c r="F109" i="4" s="1"/>
  <c r="F251" i="2"/>
  <c r="F112" i="2"/>
  <c r="E112" i="2" s="1"/>
  <c r="F83" i="2"/>
  <c r="F94" i="2"/>
  <c r="F89" i="2" s="1"/>
  <c r="E89" i="2" s="1"/>
  <c r="D191" i="2"/>
  <c r="F191" i="2" s="1"/>
  <c r="D187" i="2"/>
  <c r="F187" i="2" s="1"/>
  <c r="F154" i="2"/>
  <c r="F157" i="2" s="1"/>
  <c r="F147" i="2" s="1"/>
  <c r="E147" i="2" s="1"/>
  <c r="D87" i="2"/>
  <c r="F87" i="2" s="1"/>
  <c r="F86" i="2"/>
  <c r="F17" i="2"/>
  <c r="F14" i="2"/>
  <c r="E14" i="2" s="1"/>
  <c r="F132" i="2"/>
  <c r="F134" i="2"/>
  <c r="D142" i="2"/>
  <c r="D109" i="2"/>
  <c r="F109" i="2" s="1"/>
  <c r="F108" i="2"/>
  <c r="F105" i="2"/>
  <c r="D185" i="2"/>
  <c r="F185" i="2" s="1"/>
  <c r="F188" i="2" s="1"/>
  <c r="D192" i="2"/>
  <c r="F192" i="2" s="1"/>
  <c r="F211" i="2"/>
  <c r="D73" i="2"/>
  <c r="F73" i="2" s="1"/>
  <c r="D62" i="2"/>
  <c r="F62" i="2" s="1"/>
  <c r="D72" i="2"/>
  <c r="F72" i="2" s="1"/>
  <c r="D61" i="2"/>
  <c r="F61" i="2" s="1"/>
  <c r="D68" i="2"/>
  <c r="D63" i="2"/>
  <c r="F63" i="2" s="1"/>
  <c r="F50" i="2"/>
  <c r="F51" i="2" s="1"/>
  <c r="D46" i="2"/>
  <c r="F46" i="2" s="1"/>
  <c r="D56" i="2"/>
  <c r="F56" i="2" s="1"/>
  <c r="F57" i="2" s="1"/>
  <c r="F280" i="2"/>
  <c r="F47" i="2"/>
  <c r="D227" i="3"/>
  <c r="F227" i="3" s="1"/>
  <c r="D228" i="3"/>
  <c r="F228" i="3" s="1"/>
  <c r="F97" i="5"/>
  <c r="F99" i="5" s="1"/>
  <c r="F11" i="5"/>
  <c r="F7" i="5" s="1"/>
  <c r="E7" i="5" s="1"/>
  <c r="F94" i="5"/>
  <c r="F132" i="5"/>
  <c r="F134" i="5"/>
  <c r="D142" i="5"/>
  <c r="F251" i="5"/>
  <c r="F154" i="5"/>
  <c r="F157" i="5" s="1"/>
  <c r="F147" i="5" s="1"/>
  <c r="E147" i="5" s="1"/>
  <c r="D87" i="5"/>
  <c r="F87" i="5" s="1"/>
  <c r="F86" i="5"/>
  <c r="F68" i="5"/>
  <c r="F69" i="5" s="1"/>
  <c r="D64" i="5"/>
  <c r="F64" i="5" s="1"/>
  <c r="F65" i="5" s="1"/>
  <c r="D74" i="5"/>
  <c r="F74" i="5" s="1"/>
  <c r="F75" i="5" s="1"/>
  <c r="D109" i="5"/>
  <c r="F109" i="5" s="1"/>
  <c r="F108" i="5"/>
  <c r="F50" i="5"/>
  <c r="F51" i="5" s="1"/>
  <c r="D46" i="5"/>
  <c r="F46" i="5" s="1"/>
  <c r="D56" i="5"/>
  <c r="F56" i="5" s="1"/>
  <c r="F57" i="5" s="1"/>
  <c r="F97" i="3"/>
  <c r="F99" i="3" s="1"/>
  <c r="F86" i="3"/>
  <c r="F88" i="3" s="1"/>
  <c r="D68" i="3"/>
  <c r="D64" i="3" s="1"/>
  <c r="F64" i="3" s="1"/>
  <c r="F131" i="3"/>
  <c r="F132" i="3" s="1"/>
  <c r="D134" i="3"/>
  <c r="D73" i="3"/>
  <c r="F73" i="3" s="1"/>
  <c r="F117" i="3"/>
  <c r="F112" i="3" s="1"/>
  <c r="E112" i="3" s="1"/>
  <c r="F50" i="3"/>
  <c r="F51" i="3" s="1"/>
  <c r="D56" i="3"/>
  <c r="F56" i="3" s="1"/>
  <c r="F57" i="3" s="1"/>
  <c r="F68" i="3"/>
  <c r="F69" i="3" s="1"/>
  <c r="F83" i="3"/>
  <c r="F105" i="3"/>
  <c r="F100" i="3" s="1"/>
  <c r="E100" i="3" s="1"/>
  <c r="F36" i="3"/>
  <c r="F236" i="3"/>
  <c r="E236" i="3" s="1"/>
  <c r="F25" i="3"/>
  <c r="F22" i="3"/>
  <c r="E22" i="3" s="1"/>
  <c r="F252" i="3"/>
  <c r="F212" i="3"/>
  <c r="F214" i="3" s="1"/>
  <c r="F273" i="3"/>
  <c r="F274" i="3" s="1"/>
  <c r="F255" i="3"/>
  <c r="F257" i="3" s="1"/>
  <c r="F168" i="3"/>
  <c r="F170" i="3" s="1"/>
  <c r="F94" i="3"/>
  <c r="D264" i="3"/>
  <c r="F264" i="3" s="1"/>
  <c r="D268" i="3"/>
  <c r="F268" i="3" s="1"/>
  <c r="F282" i="3"/>
  <c r="D266" i="3"/>
  <c r="F266" i="3" s="1"/>
  <c r="D267" i="3"/>
  <c r="F267" i="3" s="1"/>
  <c r="D263" i="3"/>
  <c r="F263" i="3" s="1"/>
  <c r="D265" i="3"/>
  <c r="F265" i="3" s="1"/>
  <c r="D286" i="3"/>
  <c r="F286" i="3" s="1"/>
  <c r="F285" i="3"/>
  <c r="F165" i="3"/>
  <c r="D255" i="5"/>
  <c r="F255" i="5" s="1"/>
  <c r="F256" i="5" s="1"/>
  <c r="F179" i="5"/>
  <c r="F14" i="3"/>
  <c r="E14" i="3" s="1"/>
  <c r="F204" i="3"/>
  <c r="F189" i="3"/>
  <c r="F180" i="3"/>
  <c r="F224" i="3"/>
  <c r="F217" i="3" s="1"/>
  <c r="E217" i="3" s="1"/>
  <c r="D267" i="5"/>
  <c r="D272" i="5"/>
  <c r="D266" i="5"/>
  <c r="F266" i="5" s="1"/>
  <c r="D262" i="5"/>
  <c r="D265" i="5"/>
  <c r="F265" i="5" s="1"/>
  <c r="D264" i="5"/>
  <c r="D263" i="5"/>
  <c r="F263" i="5" s="1"/>
  <c r="D285" i="5"/>
  <c r="F285" i="5" s="1"/>
  <c r="F284" i="5"/>
  <c r="F207" i="5"/>
  <c r="F228" i="5"/>
  <c r="F223" i="5"/>
  <c r="F203" i="5"/>
  <c r="F165" i="5"/>
  <c r="F160" i="5" s="1"/>
  <c r="E160" i="5" s="1"/>
  <c r="F247" i="2"/>
  <c r="E247" i="2" s="1"/>
  <c r="F165" i="2"/>
  <c r="F160" i="2" s="1"/>
  <c r="E160" i="2" s="1"/>
  <c r="D284" i="2"/>
  <c r="F284" i="2" s="1"/>
  <c r="F283" i="2"/>
  <c r="D265" i="2"/>
  <c r="F265" i="2" s="1"/>
  <c r="D261" i="2"/>
  <c r="F261" i="2" s="1"/>
  <c r="D264" i="2"/>
  <c r="F264" i="2" s="1"/>
  <c r="D271" i="2"/>
  <c r="D263" i="2"/>
  <c r="F263" i="2" s="1"/>
  <c r="D262" i="2"/>
  <c r="F262" i="2" s="1"/>
  <c r="D266" i="2"/>
  <c r="F266" i="2" s="1"/>
  <c r="F212" i="2"/>
  <c r="D227" i="2"/>
  <c r="F227" i="2" s="1"/>
  <c r="F228" i="2" s="1"/>
  <c r="F179" i="2"/>
  <c r="F171" i="2" s="1"/>
  <c r="E171" i="2" s="1"/>
  <c r="F228" i="4"/>
  <c r="F235" i="4"/>
  <c r="E235" i="4" s="1"/>
  <c r="D271" i="4"/>
  <c r="F271" i="4" s="1"/>
  <c r="D270" i="6"/>
  <c r="F270" i="6" s="1"/>
  <c r="F272" i="6" s="1"/>
  <c r="F177" i="6"/>
  <c r="F179" i="6" s="1"/>
  <c r="F171" i="6" s="1"/>
  <c r="E171" i="6" s="1"/>
  <c r="F203" i="2"/>
  <c r="F223" i="2"/>
  <c r="F254" i="4"/>
  <c r="F256" i="4" s="1"/>
  <c r="F203" i="4"/>
  <c r="F196" i="4" s="1"/>
  <c r="F223" i="4"/>
  <c r="F216" i="4" s="1"/>
  <c r="E216" i="4" s="1"/>
  <c r="F165" i="4"/>
  <c r="F160" i="4" s="1"/>
  <c r="E160" i="4" s="1"/>
  <c r="D212" i="1"/>
  <c r="F227" i="1" s="1"/>
  <c r="F165" i="1"/>
  <c r="F160" i="1" s="1"/>
  <c r="E160" i="1" s="1"/>
  <c r="F223" i="1"/>
  <c r="F216" i="1" s="1"/>
  <c r="E216" i="1" s="1"/>
  <c r="F226" i="1"/>
  <c r="F203" i="1"/>
  <c r="D202" i="1"/>
  <c r="F202" i="1" s="1"/>
  <c r="F207" i="1"/>
  <c r="F208" i="1" s="1"/>
  <c r="F207" i="3"/>
  <c r="F209" i="3" s="1"/>
  <c r="D202" i="3"/>
  <c r="F202" i="3" s="1"/>
  <c r="D192" i="5"/>
  <c r="F192" i="5" s="1"/>
  <c r="D186" i="5"/>
  <c r="F186" i="5" s="1"/>
  <c r="D185" i="5"/>
  <c r="F185" i="5" s="1"/>
  <c r="D187" i="5"/>
  <c r="D191" i="5"/>
  <c r="F191" i="5" s="1"/>
  <c r="D201" i="5"/>
  <c r="F201" i="5" s="1"/>
  <c r="F206" i="5"/>
  <c r="D185" i="4"/>
  <c r="F185" i="4" s="1"/>
  <c r="D192" i="4"/>
  <c r="F192" i="4" s="1"/>
  <c r="D191" i="4"/>
  <c r="F191" i="4" s="1"/>
  <c r="D187" i="4"/>
  <c r="F187" i="4" s="1"/>
  <c r="D186" i="4"/>
  <c r="F186" i="4" s="1"/>
  <c r="F206" i="6"/>
  <c r="F208" i="6" s="1"/>
  <c r="D201" i="6"/>
  <c r="F201" i="6" s="1"/>
  <c r="D255" i="6"/>
  <c r="F255" i="6" s="1"/>
  <c r="F254" i="6"/>
  <c r="F211" i="6"/>
  <c r="D212" i="6"/>
  <c r="F267" i="6"/>
  <c r="F203" i="6"/>
  <c r="F193" i="6"/>
  <c r="F223" i="6"/>
  <c r="F216" i="6" s="1"/>
  <c r="E216" i="6" s="1"/>
  <c r="F251" i="6"/>
  <c r="D186" i="1"/>
  <c r="F186" i="1" s="1"/>
  <c r="D185" i="1"/>
  <c r="F185" i="1" s="1"/>
  <c r="D192" i="1"/>
  <c r="F192" i="1" s="1"/>
  <c r="D191" i="1"/>
  <c r="F191" i="1" s="1"/>
  <c r="D187" i="1"/>
  <c r="F187" i="1" s="1"/>
  <c r="F206" i="2"/>
  <c r="F208" i="2" s="1"/>
  <c r="D201" i="2"/>
  <c r="F201" i="2" s="1"/>
  <c r="F286" i="5" l="1"/>
  <c r="F160" i="3"/>
  <c r="F89" i="5"/>
  <c r="F213" i="2"/>
  <c r="D95" i="7"/>
  <c r="F95" i="7" s="1"/>
  <c r="F97" i="7" s="1"/>
  <c r="F93" i="7" s="1"/>
  <c r="F193" i="2"/>
  <c r="D279" i="4"/>
  <c r="D288" i="4"/>
  <c r="D278" i="4"/>
  <c r="F278" i="4" s="1"/>
  <c r="D283" i="4"/>
  <c r="D277" i="4"/>
  <c r="F277" i="4" s="1"/>
  <c r="E306" i="6"/>
  <c r="D3" i="9"/>
  <c r="F3" i="9" s="1"/>
  <c r="E68" i="7"/>
  <c r="E93" i="7"/>
  <c r="F114" i="7"/>
  <c r="F115" i="7" s="1"/>
  <c r="F107" i="7" s="1"/>
  <c r="E107" i="7" s="1"/>
  <c r="F9" i="7"/>
  <c r="F4" i="7" s="1"/>
  <c r="F80" i="7"/>
  <c r="E80" i="7" s="1"/>
  <c r="F49" i="7"/>
  <c r="F54" i="7" s="1"/>
  <c r="D14" i="9"/>
  <c r="F14" i="9" s="1"/>
  <c r="F33" i="7"/>
  <c r="F344" i="5"/>
  <c r="F336" i="5" s="1"/>
  <c r="F83" i="5"/>
  <c r="F17" i="5"/>
  <c r="F171" i="5"/>
  <c r="E171" i="5" s="1"/>
  <c r="F58" i="5"/>
  <c r="E58" i="5" s="1"/>
  <c r="F110" i="5"/>
  <c r="F291" i="5"/>
  <c r="F267" i="5"/>
  <c r="D30" i="9"/>
  <c r="F30" i="9" s="1"/>
  <c r="F47" i="5"/>
  <c r="F187" i="5"/>
  <c r="F188" i="5" s="1"/>
  <c r="D19" i="9"/>
  <c r="F19" i="9" s="1"/>
  <c r="F264" i="5"/>
  <c r="F135" i="5"/>
  <c r="F125" i="5" s="1"/>
  <c r="E125" i="5" s="1"/>
  <c r="D4" i="9"/>
  <c r="F4" i="9" s="1"/>
  <c r="F262" i="5"/>
  <c r="D31" i="9"/>
  <c r="F31" i="9" s="1"/>
  <c r="F292" i="5"/>
  <c r="E89" i="5"/>
  <c r="F64" i="7"/>
  <c r="F23" i="7"/>
  <c r="F298" i="2"/>
  <c r="F303" i="6"/>
  <c r="F298" i="6"/>
  <c r="F288" i="6" s="1"/>
  <c r="E288" i="6" s="1"/>
  <c r="F216" i="2"/>
  <c r="E216" i="2" s="1"/>
  <c r="F196" i="2"/>
  <c r="F302" i="2"/>
  <c r="D301" i="2"/>
  <c r="F301" i="2" s="1"/>
  <c r="F285" i="2"/>
  <c r="F275" i="2" s="1"/>
  <c r="E275" i="2" s="1"/>
  <c r="D58" i="7"/>
  <c r="F58" i="7" s="1"/>
  <c r="F57" i="7"/>
  <c r="D27" i="7"/>
  <c r="F27" i="7" s="1"/>
  <c r="F26" i="7"/>
  <c r="F298" i="1"/>
  <c r="F302" i="1"/>
  <c r="D301" i="1"/>
  <c r="F301" i="1" s="1"/>
  <c r="F88" i="1"/>
  <c r="F78" i="1" s="1"/>
  <c r="E78" i="1" s="1"/>
  <c r="F110" i="1"/>
  <c r="F100" i="1" s="1"/>
  <c r="E100" i="1" s="1"/>
  <c r="F135" i="1"/>
  <c r="F125" i="1" s="1"/>
  <c r="E125" i="1" s="1"/>
  <c r="F40" i="1"/>
  <c r="F182" i="2"/>
  <c r="E182" i="2" s="1"/>
  <c r="F89" i="1"/>
  <c r="E89" i="1" s="1"/>
  <c r="F228" i="1"/>
  <c r="F267" i="1"/>
  <c r="D145" i="1"/>
  <c r="F145" i="1" s="1"/>
  <c r="F142" i="1"/>
  <c r="F212" i="1"/>
  <c r="F213" i="1" s="1"/>
  <c r="F196" i="1" s="1"/>
  <c r="D64" i="1"/>
  <c r="F64" i="1" s="1"/>
  <c r="F65" i="1" s="1"/>
  <c r="D74" i="1"/>
  <c r="F74" i="1" s="1"/>
  <c r="F75" i="1" s="1"/>
  <c r="F68" i="1"/>
  <c r="F69" i="1" s="1"/>
  <c r="F271" i="1"/>
  <c r="D270" i="1"/>
  <c r="F270" i="1" s="1"/>
  <c r="F275" i="6"/>
  <c r="E275" i="6" s="1"/>
  <c r="F88" i="6"/>
  <c r="F78" i="6" s="1"/>
  <c r="E78" i="6" s="1"/>
  <c r="F182" i="6"/>
  <c r="E182" i="6" s="1"/>
  <c r="F110" i="6"/>
  <c r="F100" i="6" s="1"/>
  <c r="E100" i="6" s="1"/>
  <c r="F256" i="6"/>
  <c r="F247" i="6" s="1"/>
  <c r="E247" i="6" s="1"/>
  <c r="F58" i="6"/>
  <c r="E58" i="6" s="1"/>
  <c r="F132" i="6"/>
  <c r="F40" i="6"/>
  <c r="F154" i="6"/>
  <c r="F157" i="6" s="1"/>
  <c r="F147" i="6" s="1"/>
  <c r="E147" i="6" s="1"/>
  <c r="F134" i="6"/>
  <c r="D142" i="6"/>
  <c r="F89" i="4"/>
  <c r="E89" i="4" s="1"/>
  <c r="D270" i="4"/>
  <c r="F270" i="4" s="1"/>
  <c r="F272" i="4" s="1"/>
  <c r="F259" i="4" s="1"/>
  <c r="E259" i="4" s="1"/>
  <c r="F58" i="4"/>
  <c r="E58" i="4" s="1"/>
  <c r="F110" i="4"/>
  <c r="F100" i="4" s="1"/>
  <c r="E100" i="4" s="1"/>
  <c r="F88" i="4"/>
  <c r="F78" i="4" s="1"/>
  <c r="F40" i="4"/>
  <c r="E40" i="4" s="1"/>
  <c r="F247" i="4"/>
  <c r="E247" i="4" s="1"/>
  <c r="D145" i="4"/>
  <c r="F145" i="4" s="1"/>
  <c r="F142" i="4"/>
  <c r="F88" i="2"/>
  <c r="F78" i="2" s="1"/>
  <c r="E78" i="2" s="1"/>
  <c r="F110" i="2"/>
  <c r="F100" i="2" s="1"/>
  <c r="F135" i="2"/>
  <c r="F125" i="2" s="1"/>
  <c r="E125" i="2" s="1"/>
  <c r="D145" i="2"/>
  <c r="F145" i="2" s="1"/>
  <c r="F142" i="2"/>
  <c r="F40" i="2"/>
  <c r="E40" i="2" s="1"/>
  <c r="F68" i="2"/>
  <c r="F69" i="2" s="1"/>
  <c r="D74" i="2"/>
  <c r="F74" i="2" s="1"/>
  <c r="F75" i="2" s="1"/>
  <c r="D64" i="2"/>
  <c r="F64" i="2" s="1"/>
  <c r="F65" i="2" s="1"/>
  <c r="F89" i="3"/>
  <c r="D74" i="3"/>
  <c r="F74" i="3" s="1"/>
  <c r="F229" i="3"/>
  <c r="F216" i="5"/>
  <c r="E216" i="5" s="1"/>
  <c r="F276" i="5"/>
  <c r="E276" i="5" s="1"/>
  <c r="F88" i="5"/>
  <c r="F78" i="5" s="1"/>
  <c r="E78" i="5" s="1"/>
  <c r="D145" i="5"/>
  <c r="F145" i="5" s="1"/>
  <c r="F142" i="5"/>
  <c r="F40" i="5"/>
  <c r="E40" i="5" s="1"/>
  <c r="F247" i="5"/>
  <c r="E247" i="5" s="1"/>
  <c r="F100" i="5"/>
  <c r="E100" i="5" s="1"/>
  <c r="F197" i="3"/>
  <c r="F183" i="3"/>
  <c r="E183" i="3" s="1"/>
  <c r="F172" i="3"/>
  <c r="E172" i="3" s="1"/>
  <c r="F78" i="3"/>
  <c r="E78" i="3" s="1"/>
  <c r="F134" i="3"/>
  <c r="F135" i="3" s="1"/>
  <c r="F125" i="3" s="1"/>
  <c r="D142" i="3"/>
  <c r="D145" i="3" s="1"/>
  <c r="F145" i="3" s="1"/>
  <c r="F75" i="3"/>
  <c r="F37" i="3"/>
  <c r="F65" i="3"/>
  <c r="F248" i="3"/>
  <c r="E248" i="3" s="1"/>
  <c r="F269" i="3"/>
  <c r="F260" i="3" s="1"/>
  <c r="E260" i="3" s="1"/>
  <c r="F287" i="3"/>
  <c r="F277" i="3" s="1"/>
  <c r="E277" i="3" s="1"/>
  <c r="E160" i="3"/>
  <c r="F208" i="5"/>
  <c r="F196" i="5" s="1"/>
  <c r="F47" i="3"/>
  <c r="D271" i="5"/>
  <c r="F271" i="5" s="1"/>
  <c r="F272" i="5"/>
  <c r="F193" i="5"/>
  <c r="F271" i="2"/>
  <c r="D270" i="2"/>
  <c r="F270" i="2" s="1"/>
  <c r="F267" i="2"/>
  <c r="F259" i="6"/>
  <c r="E259" i="6" s="1"/>
  <c r="F193" i="1"/>
  <c r="F193" i="4"/>
  <c r="F188" i="4"/>
  <c r="D226" i="6"/>
  <c r="F226" i="6" s="1"/>
  <c r="D227" i="6"/>
  <c r="F227" i="6" s="1"/>
  <c r="F212" i="6"/>
  <c r="F213" i="6" s="1"/>
  <c r="F196" i="6" s="1"/>
  <c r="F188" i="1"/>
  <c r="D6" i="9" l="1"/>
  <c r="F6" i="9" s="1"/>
  <c r="D297" i="4"/>
  <c r="F297" i="4" s="1"/>
  <c r="D294" i="4"/>
  <c r="D296" i="4"/>
  <c r="F296" i="4" s="1"/>
  <c r="D290" i="4"/>
  <c r="D291" i="4"/>
  <c r="D295" i="4"/>
  <c r="D293" i="4"/>
  <c r="D302" i="4"/>
  <c r="D292" i="4"/>
  <c r="F280" i="4"/>
  <c r="F279" i="4"/>
  <c r="D29" i="9"/>
  <c r="F29" i="9" s="1"/>
  <c r="F30" i="3"/>
  <c r="E30" i="3" s="1"/>
  <c r="D284" i="4"/>
  <c r="F284" i="4" s="1"/>
  <c r="F283" i="4"/>
  <c r="F285" i="4" s="1"/>
  <c r="F66" i="7"/>
  <c r="E4" i="7"/>
  <c r="F92" i="7"/>
  <c r="F268" i="5"/>
  <c r="F299" i="5"/>
  <c r="F289" i="5" s="1"/>
  <c r="E78" i="4"/>
  <c r="E100" i="2"/>
  <c r="E89" i="3"/>
  <c r="E40" i="6"/>
  <c r="E40" i="1"/>
  <c r="F59" i="7"/>
  <c r="F45" i="7" s="1"/>
  <c r="E45" i="7" s="1"/>
  <c r="F28" i="7"/>
  <c r="F14" i="7" s="1"/>
  <c r="E14" i="7" s="1"/>
  <c r="F303" i="2"/>
  <c r="F288" i="2" s="1"/>
  <c r="E288" i="2" s="1"/>
  <c r="F303" i="1"/>
  <c r="F288" i="1" s="1"/>
  <c r="E288" i="1" s="1"/>
  <c r="F272" i="1"/>
  <c r="F259" i="1" s="1"/>
  <c r="E259" i="1" s="1"/>
  <c r="F58" i="1"/>
  <c r="E58" i="1" s="1"/>
  <c r="F143" i="1"/>
  <c r="F146" i="1" s="1"/>
  <c r="F136" i="1" s="1"/>
  <c r="E136" i="1" s="1"/>
  <c r="F135" i="6"/>
  <c r="F125" i="6" s="1"/>
  <c r="E125" i="6" s="1"/>
  <c r="D145" i="6"/>
  <c r="F145" i="6" s="1"/>
  <c r="F142" i="6"/>
  <c r="F182" i="4"/>
  <c r="E182" i="4" s="1"/>
  <c r="F143" i="4"/>
  <c r="F146" i="4" s="1"/>
  <c r="F136" i="4" s="1"/>
  <c r="E136" i="4" s="1"/>
  <c r="F58" i="2"/>
  <c r="E58" i="2" s="1"/>
  <c r="F143" i="2"/>
  <c r="F146" i="2" s="1"/>
  <c r="F136" i="2" s="1"/>
  <c r="E136" i="2" s="1"/>
  <c r="F143" i="5"/>
  <c r="F146" i="5" s="1"/>
  <c r="F136" i="5" s="1"/>
  <c r="E136" i="5" s="1"/>
  <c r="F142" i="3"/>
  <c r="F143" i="3" s="1"/>
  <c r="F146" i="3" s="1"/>
  <c r="F153" i="3"/>
  <c r="F154" i="3" s="1"/>
  <c r="F157" i="3" s="1"/>
  <c r="E125" i="3"/>
  <c r="F40" i="3"/>
  <c r="E40" i="3" s="1"/>
  <c r="F58" i="3"/>
  <c r="E58" i="3" s="1"/>
  <c r="F182" i="5"/>
  <c r="E182" i="5" s="1"/>
  <c r="F273" i="5"/>
  <c r="F272" i="2"/>
  <c r="F259" i="2" s="1"/>
  <c r="E259" i="2" s="1"/>
  <c r="F182" i="1"/>
  <c r="E182" i="1" s="1"/>
  <c r="F228" i="6"/>
  <c r="F275" i="4" l="1"/>
  <c r="E275" i="4" s="1"/>
  <c r="F295" i="4"/>
  <c r="D20" i="9"/>
  <c r="F294" i="4"/>
  <c r="D26" i="9"/>
  <c r="F26" i="9" s="1"/>
  <c r="F292" i="4"/>
  <c r="D24" i="9"/>
  <c r="F24" i="9" s="1"/>
  <c r="F291" i="4"/>
  <c r="D23" i="9"/>
  <c r="F23" i="9" s="1"/>
  <c r="D301" i="4"/>
  <c r="F301" i="4" s="1"/>
  <c r="F302" i="4"/>
  <c r="F290" i="4"/>
  <c r="D22" i="9"/>
  <c r="F22" i="9" s="1"/>
  <c r="F335" i="2"/>
  <c r="E289" i="5"/>
  <c r="F293" i="4"/>
  <c r="D25" i="9"/>
  <c r="F25" i="9" s="1"/>
  <c r="F2" i="7"/>
  <c r="F335" i="1"/>
  <c r="F143" i="6"/>
  <c r="F146" i="6" s="1"/>
  <c r="F136" i="6" s="1"/>
  <c r="F259" i="5"/>
  <c r="F351" i="5" s="1"/>
  <c r="F147" i="3"/>
  <c r="F136" i="3"/>
  <c r="E136" i="3" s="1"/>
  <c r="F298" i="4" l="1"/>
  <c r="F288" i="4" s="1"/>
  <c r="D21" i="9"/>
  <c r="F20" i="9"/>
  <c r="E136" i="6"/>
  <c r="F326" i="6"/>
  <c r="F303" i="4"/>
  <c r="E147" i="3"/>
  <c r="F328" i="3"/>
  <c r="E259" i="5"/>
  <c r="E336" i="5"/>
  <c r="F21" i="9" l="1"/>
  <c r="D27" i="9"/>
  <c r="F27" i="9" s="1"/>
  <c r="E288" i="4"/>
  <c r="F326" i="4"/>
</calcChain>
</file>

<file path=xl/sharedStrings.xml><?xml version="1.0" encoding="utf-8"?>
<sst xmlns="http://schemas.openxmlformats.org/spreadsheetml/2006/main" count="2828" uniqueCount="234">
  <si>
    <t>Supply and apply Chemical anti-termite treatment as "Gladiator" or other approved insecticide to sides surfaces and bottom of trenches and bases, floor slab.</t>
  </si>
  <si>
    <t>m2</t>
  </si>
  <si>
    <t>Materials</t>
  </si>
  <si>
    <t>Termidor Aintitermite chemical</t>
  </si>
  <si>
    <t>lts</t>
  </si>
  <si>
    <t>Total materials</t>
  </si>
  <si>
    <t>Labour</t>
  </si>
  <si>
    <t>Porter</t>
  </si>
  <si>
    <t>days</t>
  </si>
  <si>
    <t>Total labour</t>
  </si>
  <si>
    <t>CM</t>
  </si>
  <si>
    <t>Cement</t>
  </si>
  <si>
    <t>Bags</t>
  </si>
  <si>
    <t>Sand</t>
  </si>
  <si>
    <t>Aggregates</t>
  </si>
  <si>
    <t>Fuel (Diesel)</t>
  </si>
  <si>
    <t>Ltrs</t>
  </si>
  <si>
    <t>Fuel (Petrol)</t>
  </si>
  <si>
    <t>Total Materials (Concrete Works)</t>
  </si>
  <si>
    <t>Equipments</t>
  </si>
  <si>
    <t>Concrete Mixer</t>
  </si>
  <si>
    <t>Days</t>
  </si>
  <si>
    <t>Concrete Vibrator</t>
  </si>
  <si>
    <t>Total Equipment (Concrete Works)</t>
  </si>
  <si>
    <t>Masons</t>
  </si>
  <si>
    <t>Porters</t>
  </si>
  <si>
    <t>Mixer Operator</t>
  </si>
  <si>
    <t>Total Labour (Concrete Works)</t>
  </si>
  <si>
    <t>m3</t>
  </si>
  <si>
    <t>Material</t>
  </si>
  <si>
    <t>Hardcore(IBIPARARA)</t>
  </si>
  <si>
    <t>bags</t>
  </si>
  <si>
    <t>sand</t>
  </si>
  <si>
    <t>labour</t>
  </si>
  <si>
    <t>Mason</t>
  </si>
  <si>
    <t>1000 gauge woven Geotextile membrane</t>
  </si>
  <si>
    <t>S.M.</t>
  </si>
  <si>
    <t>DPM</t>
  </si>
  <si>
    <t>M2</t>
  </si>
  <si>
    <t>Total for labour</t>
  </si>
  <si>
    <t>200mm Brick wall</t>
  </si>
  <si>
    <t>Ciment 32.5</t>
  </si>
  <si>
    <t>Kayumbu sand</t>
  </si>
  <si>
    <t>Burnt bricks</t>
  </si>
  <si>
    <t>pcs</t>
  </si>
  <si>
    <t>m³</t>
  </si>
  <si>
    <t>32mm Screed finishing before coating epoxy flooring</t>
  </si>
  <si>
    <t>m²</t>
  </si>
  <si>
    <t xml:space="preserve">15 mm thick cement and sand (1:4) render to masonry and concrete to receive specialist finish (ms) </t>
  </si>
  <si>
    <t>Walls and concrete surfaces externally</t>
  </si>
  <si>
    <t>SM</t>
  </si>
  <si>
    <t>Materials:</t>
  </si>
  <si>
    <t>Cement 32.5</t>
  </si>
  <si>
    <t>Labour:</t>
  </si>
  <si>
    <t>TOTAL Labour</t>
  </si>
  <si>
    <t>Prepare, prime and apply three coats 'weather guard' emulsion paint to external wall</t>
  </si>
  <si>
    <t>Weather guard paint( 2 coat)</t>
  </si>
  <si>
    <t>Ltr</t>
  </si>
  <si>
    <t>Masking tape</t>
  </si>
  <si>
    <t>Roll</t>
  </si>
  <si>
    <t>Scrapers</t>
  </si>
  <si>
    <t>Total  materials</t>
  </si>
  <si>
    <t>day</t>
  </si>
  <si>
    <t>Painter</t>
  </si>
  <si>
    <t xml:space="preserve">Surfaces internally </t>
  </si>
  <si>
    <t>lime</t>
  </si>
  <si>
    <t>Plastered walls</t>
  </si>
  <si>
    <t>kg</t>
  </si>
  <si>
    <t>induit/undercoat for sticco(whiting)</t>
  </si>
  <si>
    <t>tin</t>
  </si>
  <si>
    <t>Painter(undercoat, sticco and paint )</t>
  </si>
  <si>
    <t>Stone masonry foundation</t>
  </si>
  <si>
    <t>Supply and laying of burnt bricks for wall with motar ratio (1:6)</t>
  </si>
  <si>
    <t>Supply and laying approved hardcore for foundation with motar ratio (1:5)</t>
  </si>
  <si>
    <t>RCC door&amp; window lintel</t>
  </si>
  <si>
    <t xml:space="preserve">Floor Slab </t>
  </si>
  <si>
    <t xml:space="preserve">150mm thick  Floor Slab: 100mm stone, 50mm concrete (1:4:8) ratio </t>
  </si>
  <si>
    <t>Blinding concrete 50mm of ratio cement-sand-aggregates (1:4:8)</t>
  </si>
  <si>
    <t>Total Labour</t>
  </si>
  <si>
    <t>25MPa concrete, cement-sand-aggregate ratio (1:2:4)</t>
  </si>
  <si>
    <t xml:space="preserve">32mm Screed finishing </t>
  </si>
  <si>
    <t>15 mm thick cement and sand (1:4) render to masonry and concrete to receive specialist finish (ms) external</t>
  </si>
  <si>
    <t>Supply, assemble and put in place Phenolic,resin film faced plywood  formwork or equal and approved concrete shuttering material by Structural Engineer including all necessary supports such as steel and nails as described to:-</t>
  </si>
  <si>
    <t>Formwork Sides of column and wall bases</t>
  </si>
  <si>
    <t>Marine Plywood</t>
  </si>
  <si>
    <t>Pcs</t>
  </si>
  <si>
    <t>Timber</t>
  </si>
  <si>
    <t>Nails</t>
  </si>
  <si>
    <t>Kgs</t>
  </si>
  <si>
    <t>Total Materials (Formwork)</t>
  </si>
  <si>
    <t>Carpenter</t>
  </si>
  <si>
    <t>Total Labour (Formwork)</t>
  </si>
  <si>
    <t>supervisor</t>
  </si>
  <si>
    <t>Excavation of foundation trenches, sub column, column base</t>
  </si>
  <si>
    <t xml:space="preserve">Excavate foundation trenches  800mm deep </t>
  </si>
  <si>
    <t>Forwork to Sides of Columns</t>
  </si>
  <si>
    <t xml:space="preserve">Column bases (700*700*150)mm </t>
  </si>
  <si>
    <t>floor slab</t>
  </si>
  <si>
    <t>column base</t>
  </si>
  <si>
    <t>Ready mix concrete c30</t>
  </si>
  <si>
    <t>TOTAL MATERIALS</t>
  </si>
  <si>
    <t>Reinforced concrete class 35/20 aggregate as described in:</t>
  </si>
  <si>
    <t>culumn base</t>
  </si>
  <si>
    <t>sub column</t>
  </si>
  <si>
    <t>Columns</t>
  </si>
  <si>
    <t>Steel Reinforcement</t>
  </si>
  <si>
    <t>Steel bars (Assorted Size)</t>
  </si>
  <si>
    <t>Binding Wire</t>
  </si>
  <si>
    <t>Total Materials (Steel Reinforcement)</t>
  </si>
  <si>
    <t>Steel fixer</t>
  </si>
  <si>
    <t>porter</t>
  </si>
  <si>
    <t>Total Labour (Steel Reinforcement)</t>
  </si>
  <si>
    <t xml:space="preserve">Total Equipment </t>
  </si>
  <si>
    <t xml:space="preserve">Total Labour </t>
  </si>
  <si>
    <t xml:space="preserve">Excavate for column base &amp;sub column (700*700*1150)mm </t>
  </si>
  <si>
    <t xml:space="preserve">Total Materials </t>
  </si>
  <si>
    <t>10.01</t>
  </si>
  <si>
    <t>Internal wall finishesSupply and fix 10 mm First coat of cement/sand (1:3), 3 mm second coat of cement/lime putty (1:5) steel trowelled smooth to:-</t>
  </si>
  <si>
    <t>Formwork on Sides of sub column</t>
  </si>
  <si>
    <t>total labour</t>
  </si>
  <si>
    <t>DESCRIPTION</t>
  </si>
  <si>
    <t>UNIT</t>
  </si>
  <si>
    <t>QUANTITY</t>
  </si>
  <si>
    <t>RATE</t>
  </si>
  <si>
    <t>AMOUNT (RWF)</t>
  </si>
  <si>
    <t>Internal wall finishes Supply and fix 10 mm First coat of cement/sand (1:3), 3 mm second coat of cement/lime putty (1:5):-</t>
  </si>
  <si>
    <t>Internal wall finishes Supply and fix 10 mm First coat of cement/sand (1:3), 3 mm second coat of cement/lime putty (1:5) :-</t>
  </si>
  <si>
    <t>Total Materials</t>
  </si>
  <si>
    <t>Gypsum Fixer</t>
  </si>
  <si>
    <t>Total  (LABOUR)</t>
  </si>
  <si>
    <t>1900x1500mm size</t>
  </si>
  <si>
    <t>No</t>
  </si>
  <si>
    <t>1000x2450mm size</t>
  </si>
  <si>
    <t>Aluminum windows Supply and fix Purpose, fire resisting; price to include frames, ironmongery, glazing beads and wash leather strips including mosquito nets:</t>
  </si>
  <si>
    <t>Aluminium door divided into different panels and including 6mm thick Tinted glass complete with 45 x 20 mm anodized aluminium beads, rubber gaskets with all necessary opening accessories :</t>
  </si>
  <si>
    <t>1800x2100mm size with 2 sidelights Single Door</t>
  </si>
  <si>
    <t xml:space="preserve"> Materials</t>
  </si>
  <si>
    <t>screws</t>
  </si>
  <si>
    <t>box(250)</t>
  </si>
  <si>
    <t>Black silicon</t>
  </si>
  <si>
    <t>roll</t>
  </si>
  <si>
    <t>equipment</t>
  </si>
  <si>
    <t xml:space="preserve">Supply and fixing Roof coverings </t>
  </si>
  <si>
    <t>Painting: Supply, Prepare and apply three coats first quality emulsion paint on:</t>
  </si>
  <si>
    <t>Roof covering sheet</t>
  </si>
  <si>
    <t>window</t>
  </si>
  <si>
    <t>no</t>
  </si>
  <si>
    <t>40x40x2mm RHS struts</t>
  </si>
  <si>
    <t>LM</t>
  </si>
  <si>
    <t>Steel Materials</t>
  </si>
  <si>
    <t>RHS 40*40*2mm</t>
  </si>
  <si>
    <t>PC</t>
  </si>
  <si>
    <t>cutting disc</t>
  </si>
  <si>
    <t>welding rods</t>
  </si>
  <si>
    <t>pck</t>
  </si>
  <si>
    <t>red oxide</t>
  </si>
  <si>
    <t>thinner</t>
  </si>
  <si>
    <t>enamel paint</t>
  </si>
  <si>
    <t>Mastic p38</t>
  </si>
  <si>
    <t>pcs of 4kg</t>
  </si>
  <si>
    <t>welding machine</t>
  </si>
  <si>
    <t>grinder</t>
  </si>
  <si>
    <t>welder</t>
  </si>
  <si>
    <t>Classes, Dining area, Kitchen, Stock</t>
  </si>
  <si>
    <t>Sleeping area, Office area</t>
  </si>
  <si>
    <t xml:space="preserve"> Single Door</t>
  </si>
  <si>
    <t>1000x1500mm size</t>
  </si>
  <si>
    <t>900x2100mm size with 2 sidelights Single Door</t>
  </si>
  <si>
    <t>Double Door</t>
  </si>
  <si>
    <t>900x2100mm size with Single Door</t>
  </si>
  <si>
    <t>Single Door</t>
  </si>
  <si>
    <t>800x2100mm size with 2 Single Door</t>
  </si>
  <si>
    <t>400x4500mm size</t>
  </si>
  <si>
    <t>total equipment</t>
  </si>
  <si>
    <t>Plywood</t>
  </si>
  <si>
    <t>capenter</t>
  </si>
  <si>
    <t>Ceiling Tiles 500×500mm</t>
  </si>
  <si>
    <t>CEILING</t>
  </si>
  <si>
    <t>ROOF</t>
  </si>
  <si>
    <t>Total</t>
  </si>
  <si>
    <t>burnt bricks</t>
  </si>
  <si>
    <t>Roller</t>
  </si>
  <si>
    <t>No.</t>
  </si>
  <si>
    <t>Brush</t>
  </si>
  <si>
    <t xml:space="preserve">Cement </t>
  </si>
  <si>
    <t xml:space="preserve">Aggregates </t>
  </si>
  <si>
    <t>Plywood ceiling (triplex)</t>
  </si>
  <si>
    <t>screw box (250)</t>
  </si>
  <si>
    <t>box</t>
  </si>
  <si>
    <t>SUMMARY OF MATERIALS</t>
  </si>
  <si>
    <t>Sand (amavuta)</t>
  </si>
  <si>
    <t>500*500mm  Floor tiling with 1:4 ratio mortar</t>
  </si>
  <si>
    <t>Sand(AMAVUTA)</t>
  </si>
  <si>
    <t>Water</t>
  </si>
  <si>
    <t>spacers</t>
  </si>
  <si>
    <t>pack</t>
  </si>
  <si>
    <t>Supply and fix 500x500x8mm thick  Ceramic wall tiles to walls&amp; floor</t>
  </si>
  <si>
    <t>MATERIALS</t>
  </si>
  <si>
    <t>UNIT PRICE</t>
  </si>
  <si>
    <t>TOTAL PRICE</t>
  </si>
  <si>
    <t xml:space="preserve">Sub-base layer of approved natural  gravel material </t>
  </si>
  <si>
    <t>cum</t>
  </si>
  <si>
    <t>Fuel</t>
  </si>
  <si>
    <t>Murram</t>
  </si>
  <si>
    <t>Equipment</t>
  </si>
  <si>
    <t>Excavator</t>
  </si>
  <si>
    <t>Hrs</t>
  </si>
  <si>
    <t>Tipper Truck</t>
  </si>
  <si>
    <t>Wheel Loader</t>
  </si>
  <si>
    <t>Grader</t>
  </si>
  <si>
    <t>Water Bowser</t>
  </si>
  <si>
    <t>Compactor</t>
  </si>
  <si>
    <t>Total Equipment</t>
  </si>
  <si>
    <t>sqm</t>
  </si>
  <si>
    <t>21*10*6.3cm Ruliba Paving block</t>
  </si>
  <si>
    <t>Tipper Trucks</t>
  </si>
  <si>
    <t xml:space="preserve">Provision and installation of 21*10*6.3cm thick </t>
  </si>
  <si>
    <t>OUTDOOR PAVERS</t>
  </si>
  <si>
    <t>ITEM</t>
  </si>
  <si>
    <t>TOTAL</t>
  </si>
  <si>
    <t>ECD classes</t>
  </si>
  <si>
    <t>Office space</t>
  </si>
  <si>
    <t>Sleeping area</t>
  </si>
  <si>
    <t>Dining area</t>
  </si>
  <si>
    <t>Toilet&amp; Bathroom</t>
  </si>
  <si>
    <t>Stock&amp; kitchen</t>
  </si>
  <si>
    <t>Roof&amp; Ceiling</t>
  </si>
  <si>
    <t>Outdoor Paver</t>
  </si>
  <si>
    <t>Pavers</t>
  </si>
  <si>
    <t>Plumbing</t>
  </si>
  <si>
    <t>Electricity</t>
  </si>
  <si>
    <t>TOTAL (RwF)</t>
  </si>
  <si>
    <t>TOTAL (USD)</t>
  </si>
  <si>
    <t>Contigency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</si>
</sst>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_(* #,##0.000_);_(* \(#,##0.000\);_(* &quot;-&quot;??_);_(@_)"/>
    <numFmt numFmtId="168" formatCode="#,##0.0"/>
    <numFmt numFmtId="169" formatCode="_([$RWF]\ * #,##0.00_);_([$RWF]\ * \(#,##0.00\);_([$RWF]\ * &quot;-&quot;??_);_(@_)"/>
    <numFmt numFmtId="170" formatCode="_(* #,##0.0_);_(* \(#,##0.0\);_(* &quot;-&quot;??_);_(@_)"/>
    <numFmt numFmtId="171" formatCode="_(* #,##0.0000_);_(* \(#,##0.0000\);_(* &quot;-&quot;??_);_(@_)"/>
    <numFmt numFmtId="172" formatCode="_-* #,##0.0000_-;\-* #,##0.0000_-;_-* &quot;-&quot;_-;_-@_-"/>
  </numFmts>
  <fonts count="4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2"/>
      <color rgb="FFFF0000"/>
      <name val="Comic Sans MS"/>
      <family val="4"/>
    </font>
    <font>
      <sz val="12"/>
      <color theme="1"/>
      <name val="Condensed"/>
    </font>
    <font>
      <sz val="10"/>
      <name val="Comic Sans MS"/>
      <family val="4"/>
    </font>
    <font>
      <b/>
      <sz val="10"/>
      <name val="Comic Sans MS"/>
      <family val="4"/>
    </font>
    <font>
      <sz val="10"/>
      <color theme="8"/>
      <name val="Comic Sans MS"/>
      <family val="4"/>
    </font>
    <font>
      <sz val="12"/>
      <color theme="1"/>
      <name val="Sylfaen"/>
      <family val="1"/>
    </font>
    <font>
      <b/>
      <sz val="12"/>
      <name val="Sylfaen"/>
      <family val="1"/>
    </font>
    <font>
      <b/>
      <sz val="12"/>
      <color theme="1"/>
      <name val="Sylfaen"/>
      <family val="1"/>
    </font>
    <font>
      <sz val="10"/>
      <color rgb="FFFF0000"/>
      <name val="Comic Sans MS"/>
      <family val="4"/>
    </font>
    <font>
      <sz val="10"/>
      <color theme="9"/>
      <name val="Comic Sans MS"/>
      <family val="4"/>
    </font>
    <font>
      <b/>
      <sz val="10"/>
      <color theme="9"/>
      <name val="Comic Sans MS"/>
      <family val="4"/>
    </font>
    <font>
      <sz val="10"/>
      <color theme="1"/>
      <name val="Comic Sans MS"/>
      <family val="4"/>
    </font>
    <font>
      <sz val="12"/>
      <name val="Comic Sans MS"/>
      <family val="4"/>
    </font>
    <font>
      <sz val="12"/>
      <color theme="1"/>
      <name val="Calibri"/>
      <family val="2"/>
      <scheme val="minor"/>
    </font>
    <font>
      <sz val="12"/>
      <color theme="1"/>
      <name val="Comic Sans MS"/>
      <family val="4"/>
    </font>
    <font>
      <b/>
      <sz val="10"/>
      <color theme="1"/>
      <name val="Comic Sans MS"/>
      <family val="4"/>
    </font>
    <font>
      <b/>
      <sz val="12"/>
      <name val="Comic Sans MS"/>
      <family val="4"/>
    </font>
    <font>
      <sz val="11"/>
      <name val="Calibri"/>
      <family val="2"/>
      <scheme val="minor"/>
    </font>
    <font>
      <b/>
      <sz val="10"/>
      <color rgb="FFFF0000"/>
      <name val="Comic Sans MS"/>
      <family val="4"/>
    </font>
    <font>
      <b/>
      <sz val="11"/>
      <name val="Calibri"/>
      <family val="2"/>
      <scheme val="minor"/>
    </font>
    <font>
      <sz val="11"/>
      <color theme="1"/>
      <name val="Comic Sans MS"/>
      <family val="4"/>
    </font>
    <font>
      <sz val="11"/>
      <color rgb="FFFF0000"/>
      <name val="Comic Sans MS"/>
      <family val="4"/>
    </font>
    <font>
      <sz val="11"/>
      <name val="Comic Sans MS"/>
      <family val="4"/>
    </font>
    <font>
      <b/>
      <sz val="11"/>
      <name val="Comic Sans MS"/>
      <family val="4"/>
    </font>
    <font>
      <b/>
      <sz val="11"/>
      <color theme="1"/>
      <name val="Comic Sans MS"/>
      <family val="4"/>
    </font>
    <font>
      <b/>
      <sz val="12"/>
      <color theme="1"/>
      <name val="Comic Sans MS"/>
      <family val="4"/>
    </font>
    <font>
      <b/>
      <sz val="14"/>
      <name val="Comic Sans MS"/>
      <family val="4"/>
    </font>
    <font>
      <sz val="10"/>
      <color theme="1"/>
      <name val="Calibri"/>
      <family val="2"/>
      <scheme val="minor"/>
    </font>
    <font>
      <b/>
      <sz val="12"/>
      <color theme="1"/>
      <name val="Calibri"/>
      <family val="2"/>
      <scheme val="minor"/>
    </font>
    <font>
      <b/>
      <sz val="14"/>
      <color theme="1"/>
      <name val="Comic Sans MS"/>
      <family val="4"/>
    </font>
    <font>
      <b/>
      <sz val="20"/>
      <color theme="1"/>
      <name val="Comic Sans MS"/>
      <family val="4"/>
    </font>
    <font>
      <b/>
      <sz val="12"/>
      <color rgb="FFFF0000"/>
      <name val="Comic Sans MS"/>
      <family val="4"/>
    </font>
    <font>
      <sz val="12"/>
      <color indexed="8"/>
      <name val="Comic Sans MS"/>
      <family val="4"/>
    </font>
    <font>
      <sz val="12"/>
      <color rgb="FFFF0000"/>
      <name val="Calibri"/>
      <family val="2"/>
      <scheme val="minor"/>
    </font>
    <font>
      <b/>
      <sz val="12"/>
      <color indexed="8"/>
      <name val="Comic Sans MS"/>
      <family val="4"/>
    </font>
    <font>
      <b/>
      <sz val="22"/>
      <color theme="1"/>
      <name val="Comic Sans MS"/>
      <family val="4"/>
    </font>
    <font>
      <b/>
      <sz val="24"/>
      <color theme="1"/>
      <name val="Comic Sans MS"/>
      <family val="4"/>
    </font>
    <font>
      <sz val="11"/>
      <color rgb="FF000000"/>
      <name val="Calibri"/>
      <family val="2"/>
    </font>
    <font>
      <b/>
      <sz val="18"/>
      <color theme="1"/>
      <name val="Comic Sans MS Bold"/>
    </font>
    <font>
      <sz val="18"/>
      <color theme="4" tint="-0.499984740745262"/>
      <name val="Comic Sans MS Bold"/>
    </font>
    <font>
      <b/>
      <sz val="18"/>
      <color theme="1"/>
      <name val="Comic Sans MS"/>
      <family val="4"/>
    </font>
    <font>
      <b/>
      <sz val="18"/>
      <color theme="4" tint="-0.499984740745262"/>
      <name val="Comic Sans MS"/>
      <family val="4"/>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s>
  <cellStyleXfs count="12">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cellStyleXfs>
  <cellXfs count="505">
    <xf numFmtId="0" fontId="0" fillId="0" borderId="0" xfId="0"/>
    <xf numFmtId="2" fontId="5" fillId="2" borderId="1" xfId="4" applyNumberFormat="1" applyFont="1" applyFill="1" applyBorder="1" applyAlignment="1">
      <alignment horizontal="center" vertical="center"/>
    </xf>
    <xf numFmtId="0" fontId="5" fillId="2" borderId="1" xfId="0" applyFont="1" applyFill="1" applyBorder="1" applyAlignment="1">
      <alignment horizontal="left" vertical="center" wrapText="1"/>
    </xf>
    <xf numFmtId="166" fontId="5" fillId="2" borderId="1" xfId="1" applyNumberFormat="1" applyFont="1" applyFill="1" applyBorder="1" applyAlignment="1">
      <alignment horizontal="center" vertical="center"/>
    </xf>
    <xf numFmtId="166" fontId="5" fillId="2" borderId="1" xfId="1" applyNumberFormat="1" applyFont="1" applyFill="1" applyBorder="1" applyAlignment="1">
      <alignment vertical="center"/>
    </xf>
    <xf numFmtId="166" fontId="7" fillId="3" borderId="1" xfId="1" applyNumberFormat="1" applyFont="1" applyFill="1" applyBorder="1" applyAlignment="1">
      <alignment horizontal="center"/>
    </xf>
    <xf numFmtId="166" fontId="6" fillId="0" borderId="0" xfId="1" applyNumberFormat="1" applyFont="1" applyFill="1"/>
    <xf numFmtId="43" fontId="6" fillId="0" borderId="0" xfId="1" applyFont="1" applyFill="1"/>
    <xf numFmtId="166" fontId="8" fillId="0" borderId="1" xfId="1" applyNumberFormat="1" applyFont="1" applyFill="1" applyBorder="1" applyAlignment="1">
      <alignment horizontal="left" vertical="center" wrapText="1"/>
    </xf>
    <xf numFmtId="166" fontId="7" fillId="0" borderId="1" xfId="1" applyNumberFormat="1" applyFont="1" applyFill="1" applyBorder="1" applyAlignment="1">
      <alignment horizontal="center" vertical="center"/>
    </xf>
    <xf numFmtId="0" fontId="7" fillId="0" borderId="1" xfId="0" applyFont="1" applyBorder="1" applyAlignment="1">
      <alignment wrapText="1"/>
    </xf>
    <xf numFmtId="166" fontId="8" fillId="0" borderId="1" xfId="1" applyNumberFormat="1" applyFont="1" applyFill="1" applyBorder="1" applyAlignment="1">
      <alignment horizontal="left" vertical="center"/>
    </xf>
    <xf numFmtId="166" fontId="8" fillId="0" borderId="1" xfId="1" applyNumberFormat="1" applyFont="1" applyFill="1" applyBorder="1" applyAlignment="1">
      <alignment horizontal="center" vertical="center"/>
    </xf>
    <xf numFmtId="166" fontId="7" fillId="0" borderId="1" xfId="1" applyNumberFormat="1" applyFont="1" applyFill="1" applyBorder="1" applyAlignment="1">
      <alignment horizontal="left" vertical="center" wrapText="1"/>
    </xf>
    <xf numFmtId="0" fontId="8" fillId="0" borderId="1" xfId="0" applyFont="1" applyBorder="1" applyAlignment="1">
      <alignment horizontal="right" vertical="center"/>
    </xf>
    <xf numFmtId="0" fontId="5" fillId="2" borderId="1" xfId="0" applyFont="1" applyFill="1" applyBorder="1" applyAlignment="1">
      <alignment horizontal="center" vertical="center"/>
    </xf>
    <xf numFmtId="166" fontId="5" fillId="2" borderId="1" xfId="1" applyNumberFormat="1" applyFont="1" applyFill="1" applyBorder="1" applyAlignment="1">
      <alignment horizontal="left" vertical="center" wrapText="1"/>
    </xf>
    <xf numFmtId="43" fontId="5" fillId="2" borderId="1" xfId="1" applyFont="1" applyFill="1" applyBorder="1" applyAlignment="1">
      <alignment horizontal="center" vertical="center"/>
    </xf>
    <xf numFmtId="0" fontId="7" fillId="3" borderId="1" xfId="0" applyFont="1" applyFill="1" applyBorder="1" applyAlignment="1">
      <alignment horizontal="center" vertical="center"/>
    </xf>
    <xf numFmtId="166" fontId="7" fillId="3" borderId="1" xfId="1" applyNumberFormat="1" applyFont="1" applyFill="1" applyBorder="1" applyAlignment="1">
      <alignment horizontal="left" vertical="center" wrapText="1"/>
    </xf>
    <xf numFmtId="166" fontId="7" fillId="3" borderId="1" xfId="1" applyNumberFormat="1" applyFont="1" applyFill="1" applyBorder="1" applyAlignment="1">
      <alignment horizontal="center" vertical="center"/>
    </xf>
    <xf numFmtId="43" fontId="7" fillId="0" borderId="1" xfId="1" applyFont="1" applyFill="1" applyBorder="1" applyAlignment="1">
      <alignment vertical="center" wrapText="1"/>
    </xf>
    <xf numFmtId="43" fontId="8" fillId="0" borderId="1" xfId="1" applyFont="1" applyFill="1" applyBorder="1" applyAlignment="1">
      <alignment vertical="center" wrapText="1"/>
    </xf>
    <xf numFmtId="43" fontId="7" fillId="0" borderId="1" xfId="1" applyFont="1" applyFill="1" applyBorder="1" applyAlignment="1">
      <alignment horizontal="center" vertical="center" wrapText="1"/>
    </xf>
    <xf numFmtId="43" fontId="7" fillId="0" borderId="1" xfId="1" applyFont="1" applyFill="1" applyBorder="1" applyAlignment="1">
      <alignment horizontal="center" vertical="center"/>
    </xf>
    <xf numFmtId="43" fontId="7" fillId="0" borderId="1" xfId="1" applyFont="1" applyFill="1" applyBorder="1" applyAlignment="1">
      <alignment vertical="center"/>
    </xf>
    <xf numFmtId="0" fontId="10" fillId="0" borderId="0" xfId="0" applyFont="1"/>
    <xf numFmtId="43" fontId="10" fillId="0" borderId="0" xfId="1" applyFont="1"/>
    <xf numFmtId="43" fontId="8" fillId="0" borderId="1" xfId="1" applyFont="1" applyFill="1" applyBorder="1" applyAlignment="1">
      <alignment horizontal="center" vertical="center" wrapText="1"/>
    </xf>
    <xf numFmtId="43" fontId="8" fillId="0" borderId="1" xfId="1" applyFont="1" applyFill="1" applyBorder="1" applyAlignment="1">
      <alignment horizontal="center" vertical="center"/>
    </xf>
    <xf numFmtId="0" fontId="12" fillId="0" borderId="0" xfId="0" applyFont="1"/>
    <xf numFmtId="166" fontId="10" fillId="0" borderId="0" xfId="1" applyNumberFormat="1" applyFont="1" applyFill="1"/>
    <xf numFmtId="43" fontId="10" fillId="0" borderId="0" xfId="1" applyFont="1" applyFill="1"/>
    <xf numFmtId="43" fontId="8" fillId="0" borderId="1" xfId="1" applyFont="1" applyFill="1" applyBorder="1" applyAlignment="1">
      <alignment vertical="center"/>
    </xf>
    <xf numFmtId="166" fontId="13" fillId="2" borderId="1" xfId="1" applyNumberFormat="1" applyFont="1" applyFill="1" applyBorder="1" applyAlignment="1">
      <alignment horizontal="left" vertical="center" wrapText="1"/>
    </xf>
    <xf numFmtId="166" fontId="13" fillId="2" borderId="1" xfId="1" applyNumberFormat="1" applyFont="1" applyFill="1" applyBorder="1" applyAlignment="1">
      <alignment horizontal="center" vertical="center"/>
    </xf>
    <xf numFmtId="166" fontId="13" fillId="2" borderId="1" xfId="1" applyNumberFormat="1" applyFont="1" applyFill="1" applyBorder="1" applyAlignment="1">
      <alignment horizontal="center"/>
    </xf>
    <xf numFmtId="166" fontId="13" fillId="2" borderId="1" xfId="1" applyNumberFormat="1" applyFont="1" applyFill="1" applyBorder="1" applyAlignment="1">
      <alignment vertical="center"/>
    </xf>
    <xf numFmtId="166" fontId="7" fillId="0" borderId="1" xfId="1" applyNumberFormat="1" applyFont="1" applyFill="1" applyBorder="1" applyAlignment="1">
      <alignment horizontal="center"/>
    </xf>
    <xf numFmtId="0" fontId="11" fillId="0" borderId="0" xfId="0" applyFont="1"/>
    <xf numFmtId="43" fontId="11" fillId="0" borderId="0" xfId="1" applyFont="1"/>
    <xf numFmtId="43" fontId="5" fillId="2" borderId="1" xfId="1" applyFont="1" applyFill="1" applyBorder="1" applyAlignment="1">
      <alignment horizontal="center" vertical="center" wrapText="1"/>
    </xf>
    <xf numFmtId="166" fontId="10" fillId="3" borderId="0" xfId="1" applyNumberFormat="1" applyFont="1" applyFill="1"/>
    <xf numFmtId="43" fontId="10" fillId="3" borderId="0" xfId="1" applyFont="1" applyFill="1"/>
    <xf numFmtId="0" fontId="7" fillId="0" borderId="1" xfId="0" applyFont="1" applyBorder="1" applyAlignment="1">
      <alignment horizontal="center" vertical="center"/>
    </xf>
    <xf numFmtId="3" fontId="7" fillId="0" borderId="1" xfId="0" applyNumberFormat="1" applyFont="1" applyBorder="1" applyAlignment="1">
      <alignment vertical="center"/>
    </xf>
    <xf numFmtId="166" fontId="7" fillId="0" borderId="1" xfId="1" applyNumberFormat="1" applyFont="1" applyFill="1" applyBorder="1" applyAlignment="1">
      <alignment vertical="center"/>
    </xf>
    <xf numFmtId="43" fontId="13" fillId="0" borderId="1" xfId="1" applyFont="1" applyFill="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xf>
    <xf numFmtId="166" fontId="13" fillId="0" borderId="1" xfId="1" applyNumberFormat="1" applyFont="1" applyFill="1" applyBorder="1" applyAlignment="1">
      <alignment horizontal="center" vertical="center"/>
    </xf>
    <xf numFmtId="166" fontId="13" fillId="0" borderId="1" xfId="1" applyNumberFormat="1" applyFont="1" applyFill="1" applyBorder="1" applyAlignment="1">
      <alignment vertical="center"/>
    </xf>
    <xf numFmtId="0" fontId="10" fillId="3" borderId="0" xfId="0" applyFont="1" applyFill="1"/>
    <xf numFmtId="0" fontId="0" fillId="3" borderId="0" xfId="0" applyFill="1"/>
    <xf numFmtId="0" fontId="22" fillId="3" borderId="0" xfId="0" applyFont="1" applyFill="1"/>
    <xf numFmtId="0" fontId="22" fillId="0" borderId="0" xfId="0" applyFont="1"/>
    <xf numFmtId="43" fontId="7" fillId="3" borderId="1" xfId="1" applyFont="1" applyFill="1" applyBorder="1" applyAlignment="1">
      <alignment horizontal="center" vertical="center" wrapText="1"/>
    </xf>
    <xf numFmtId="43" fontId="8" fillId="3" borderId="1" xfId="1" applyFont="1" applyFill="1" applyBorder="1" applyAlignment="1">
      <alignment horizontal="center" vertical="center" wrapText="1"/>
    </xf>
    <xf numFmtId="0" fontId="24" fillId="3" borderId="0" xfId="0" applyFont="1" applyFill="1"/>
    <xf numFmtId="0" fontId="24" fillId="0" borderId="0" xfId="0" applyFont="1"/>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166" fontId="8" fillId="0" borderId="1" xfId="1" applyNumberFormat="1" applyFont="1" applyFill="1" applyBorder="1" applyAlignment="1">
      <alignment vertical="center"/>
    </xf>
    <xf numFmtId="0" fontId="3" fillId="0" borderId="0" xfId="0" applyFont="1"/>
    <xf numFmtId="0" fontId="2" fillId="0" borderId="0" xfId="0" applyFont="1"/>
    <xf numFmtId="0" fontId="13" fillId="2" borderId="1" xfId="0" applyFont="1" applyFill="1" applyBorder="1" applyAlignment="1">
      <alignment horizontal="center" vertical="center"/>
    </xf>
    <xf numFmtId="0" fontId="2" fillId="3" borderId="0" xfId="0" applyFont="1" applyFill="1"/>
    <xf numFmtId="43" fontId="0" fillId="0" borderId="0" xfId="0" applyNumberFormat="1"/>
    <xf numFmtId="43" fontId="23" fillId="0" borderId="1" xfId="1" applyFont="1" applyFill="1" applyBorder="1" applyAlignment="1">
      <alignment horizontal="center" vertical="center" wrapText="1"/>
    </xf>
    <xf numFmtId="43" fontId="13" fillId="2" borderId="1" xfId="1" applyFont="1" applyFill="1" applyBorder="1" applyAlignment="1">
      <alignment horizontal="center" vertical="center" wrapText="1"/>
    </xf>
    <xf numFmtId="0" fontId="0" fillId="0" borderId="0" xfId="0" applyAlignment="1">
      <alignment horizontal="center"/>
    </xf>
    <xf numFmtId="0" fontId="10" fillId="0" borderId="0" xfId="0" applyFont="1" applyAlignment="1">
      <alignment horizontal="center"/>
    </xf>
    <xf numFmtId="166" fontId="10" fillId="0" borderId="0" xfId="1" applyNumberFormat="1"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43" fontId="12" fillId="0" borderId="0" xfId="1" applyFont="1" applyFill="1"/>
    <xf numFmtId="166" fontId="11" fillId="0" borderId="0" xfId="1" applyNumberFormat="1" applyFont="1" applyFill="1"/>
    <xf numFmtId="166" fontId="11" fillId="0" borderId="0" xfId="1" applyNumberFormat="1" applyFont="1" applyFill="1" applyAlignment="1">
      <alignment horizontal="center"/>
    </xf>
    <xf numFmtId="43" fontId="11" fillId="0" borderId="0" xfId="1" applyFont="1" applyFill="1"/>
    <xf numFmtId="166" fontId="6" fillId="0" borderId="0" xfId="1" applyNumberFormat="1" applyFont="1" applyFill="1" applyAlignment="1">
      <alignment horizontal="center"/>
    </xf>
    <xf numFmtId="0" fontId="0" fillId="0" borderId="0" xfId="0" applyAlignment="1">
      <alignment vertical="center"/>
    </xf>
    <xf numFmtId="0" fontId="29" fillId="0" borderId="0" xfId="0" applyFont="1"/>
    <xf numFmtId="0" fontId="30" fillId="0" borderId="0" xfId="0" applyFont="1"/>
    <xf numFmtId="2" fontId="25" fillId="0" borderId="0" xfId="0" applyNumberFormat="1" applyFont="1" applyAlignment="1">
      <alignment horizontal="center" vertical="center"/>
    </xf>
    <xf numFmtId="2" fontId="21" fillId="0" borderId="1" xfId="1" applyNumberFormat="1" applyFont="1" applyFill="1" applyBorder="1" applyAlignment="1">
      <alignment horizontal="center" vertical="center" wrapText="1"/>
    </xf>
    <xf numFmtId="0" fontId="19" fillId="0" borderId="0" xfId="0" applyFont="1"/>
    <xf numFmtId="2" fontId="17" fillId="0" borderId="1" xfId="1" applyNumberFormat="1" applyFont="1" applyFill="1" applyBorder="1" applyAlignment="1">
      <alignment horizontal="center" vertical="center"/>
    </xf>
    <xf numFmtId="2" fontId="21" fillId="0" borderId="1" xfId="1" applyNumberFormat="1" applyFont="1" applyFill="1" applyBorder="1" applyAlignment="1">
      <alignment horizontal="center" vertical="center"/>
    </xf>
    <xf numFmtId="0" fontId="32" fillId="0" borderId="0" xfId="0" applyFont="1"/>
    <xf numFmtId="0" fontId="18" fillId="0" borderId="0" xfId="0" applyFont="1"/>
    <xf numFmtId="0" fontId="33" fillId="0" borderId="0" xfId="0" applyFont="1"/>
    <xf numFmtId="2" fontId="17" fillId="0" borderId="1" xfId="1" applyNumberFormat="1" applyFont="1" applyFill="1" applyBorder="1" applyAlignment="1">
      <alignment horizontal="center" vertical="center" wrapText="1"/>
    </xf>
    <xf numFmtId="2" fontId="17"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43" fontId="21" fillId="0" borderId="1" xfId="1" applyFont="1" applyFill="1" applyBorder="1" applyAlignment="1">
      <alignment horizontal="center" vertical="center" wrapText="1"/>
    </xf>
    <xf numFmtId="0" fontId="7" fillId="0" borderId="1" xfId="0" applyFont="1" applyBorder="1" applyAlignment="1">
      <alignment horizontal="left" wrapText="1"/>
    </xf>
    <xf numFmtId="166" fontId="7" fillId="3" borderId="1" xfId="1" applyNumberFormat="1" applyFont="1" applyFill="1" applyBorder="1" applyAlignment="1">
      <alignment vertical="center" wrapText="1"/>
    </xf>
    <xf numFmtId="43" fontId="8" fillId="0" borderId="1" xfId="1" applyFont="1" applyFill="1" applyBorder="1" applyAlignment="1">
      <alignment horizontal="left" vertical="center" wrapText="1"/>
    </xf>
    <xf numFmtId="43" fontId="7" fillId="0" borderId="1" xfId="1" applyFont="1" applyFill="1" applyBorder="1" applyAlignment="1">
      <alignment horizontal="left" vertical="center" wrapText="1"/>
    </xf>
    <xf numFmtId="43" fontId="5" fillId="2" borderId="1" xfId="1" applyFont="1" applyFill="1" applyBorder="1" applyAlignment="1">
      <alignment horizontal="left" vertical="center" wrapText="1"/>
    </xf>
    <xf numFmtId="43" fontId="13" fillId="2" borderId="1" xfId="1" applyFont="1" applyFill="1" applyBorder="1" applyAlignment="1">
      <alignment horizontal="left" vertical="center" wrapText="1"/>
    </xf>
    <xf numFmtId="43" fontId="8" fillId="3" borderId="1" xfId="1" applyFont="1" applyFill="1" applyBorder="1" applyAlignment="1">
      <alignment horizontal="left" vertical="center" wrapText="1"/>
    </xf>
    <xf numFmtId="43" fontId="7" fillId="3" borderId="1" xfId="1" applyFont="1" applyFill="1" applyBorder="1" applyAlignment="1">
      <alignment horizontal="left" vertical="center" wrapText="1"/>
    </xf>
    <xf numFmtId="0" fontId="7" fillId="3" borderId="1" xfId="0" applyFont="1" applyFill="1" applyBorder="1" applyAlignment="1">
      <alignment horizontal="left" vertical="center" wrapText="1"/>
    </xf>
    <xf numFmtId="0" fontId="30" fillId="0" borderId="1" xfId="0" applyFont="1" applyBorder="1" applyAlignment="1">
      <alignment horizontal="left" vertical="center"/>
    </xf>
    <xf numFmtId="0" fontId="7" fillId="3" borderId="1" xfId="0" applyFont="1" applyFill="1" applyBorder="1" applyAlignment="1">
      <alignment horizontal="left" vertical="center"/>
    </xf>
    <xf numFmtId="43" fontId="13" fillId="0" borderId="1" xfId="1" applyFont="1" applyFill="1" applyBorder="1" applyAlignment="1">
      <alignment horizontal="left" vertical="center" wrapText="1"/>
    </xf>
    <xf numFmtId="0" fontId="0" fillId="0" borderId="0" xfId="0" applyAlignment="1">
      <alignment horizontal="left" vertical="center"/>
    </xf>
    <xf numFmtId="0" fontId="8" fillId="0" borderId="1" xfId="0" applyFont="1" applyBorder="1" applyAlignment="1">
      <alignment vertical="center"/>
    </xf>
    <xf numFmtId="166" fontId="7" fillId="3" borderId="1" xfId="1" applyNumberFormat="1" applyFont="1" applyFill="1" applyBorder="1" applyAlignment="1">
      <alignment vertical="center"/>
    </xf>
    <xf numFmtId="0" fontId="0" fillId="0" borderId="0" xfId="0" applyAlignment="1">
      <alignment horizontal="center" vertical="center"/>
    </xf>
    <xf numFmtId="43" fontId="14" fillId="0" borderId="1" xfId="1" applyFont="1" applyFill="1" applyBorder="1" applyAlignment="1">
      <alignment vertical="center"/>
    </xf>
    <xf numFmtId="43" fontId="15" fillId="0" borderId="1" xfId="1" applyFont="1" applyFill="1" applyBorder="1" applyAlignment="1">
      <alignment vertical="center"/>
    </xf>
    <xf numFmtId="43" fontId="14" fillId="0" borderId="1" xfId="0" applyNumberFormat="1" applyFont="1" applyBorder="1" applyAlignment="1">
      <alignment vertical="center"/>
    </xf>
    <xf numFmtId="43" fontId="14" fillId="0" borderId="1" xfId="1" applyFont="1" applyFill="1" applyBorder="1" applyAlignment="1">
      <alignment horizontal="right" vertical="center"/>
    </xf>
    <xf numFmtId="43" fontId="15" fillId="0" borderId="1" xfId="0" applyNumberFormat="1" applyFont="1" applyBorder="1" applyAlignment="1">
      <alignment horizontal="right" vertical="center"/>
    </xf>
    <xf numFmtId="43" fontId="14" fillId="0" borderId="1" xfId="0" applyNumberFormat="1" applyFont="1" applyBorder="1" applyAlignment="1">
      <alignment horizontal="right" vertical="center"/>
    </xf>
    <xf numFmtId="43" fontId="5" fillId="2" borderId="1" xfId="1" applyFont="1" applyFill="1" applyBorder="1" applyAlignment="1">
      <alignment horizontal="right" vertical="center"/>
    </xf>
    <xf numFmtId="43" fontId="7" fillId="0" borderId="1" xfId="1" applyFont="1" applyFill="1" applyBorder="1" applyAlignment="1">
      <alignment horizontal="right" vertical="center"/>
    </xf>
    <xf numFmtId="43" fontId="9" fillId="0" borderId="1" xfId="1" applyFont="1" applyFill="1" applyBorder="1" applyAlignment="1">
      <alignment horizontal="right" vertical="center"/>
    </xf>
    <xf numFmtId="43" fontId="8" fillId="0" borderId="1" xfId="0" applyNumberFormat="1" applyFont="1" applyBorder="1" applyAlignment="1">
      <alignment horizontal="right" vertical="center"/>
    </xf>
    <xf numFmtId="43" fontId="8" fillId="0" borderId="1" xfId="1" applyFont="1" applyFill="1" applyBorder="1" applyAlignment="1">
      <alignment horizontal="right" vertical="center"/>
    </xf>
    <xf numFmtId="43" fontId="15" fillId="0" borderId="1" xfId="1" applyFont="1" applyFill="1" applyBorder="1" applyAlignment="1">
      <alignment horizontal="right" vertical="center"/>
    </xf>
    <xf numFmtId="43" fontId="14" fillId="3" borderId="1" xfId="1" applyFont="1" applyFill="1" applyBorder="1" applyAlignment="1">
      <alignment horizontal="right" vertical="center"/>
    </xf>
    <xf numFmtId="43" fontId="8" fillId="3" borderId="1" xfId="1" applyFont="1" applyFill="1" applyBorder="1" applyAlignment="1">
      <alignment horizontal="right" vertical="center"/>
    </xf>
    <xf numFmtId="43" fontId="13" fillId="2" borderId="1" xfId="1" applyFont="1" applyFill="1" applyBorder="1" applyAlignment="1">
      <alignment horizontal="right" vertical="center"/>
    </xf>
    <xf numFmtId="43" fontId="13" fillId="2" borderId="1" xfId="0" applyNumberFormat="1" applyFont="1" applyFill="1" applyBorder="1" applyAlignment="1">
      <alignment horizontal="right" vertical="center"/>
    </xf>
    <xf numFmtId="43" fontId="7" fillId="0" borderId="1" xfId="0" applyNumberFormat="1" applyFont="1" applyBorder="1" applyAlignment="1">
      <alignment horizontal="right" vertical="center"/>
    </xf>
    <xf numFmtId="43" fontId="13" fillId="0" borderId="1" xfId="1" applyFont="1" applyFill="1" applyBorder="1" applyAlignment="1">
      <alignment horizontal="right" vertical="center"/>
    </xf>
    <xf numFmtId="43" fontId="21" fillId="0" borderId="1" xfId="1" applyFont="1" applyFill="1" applyBorder="1" applyAlignment="1">
      <alignment horizontal="right" vertical="center"/>
    </xf>
    <xf numFmtId="43" fontId="7" fillId="3" borderId="1" xfId="5" applyNumberFormat="1" applyFont="1" applyFill="1" applyBorder="1" applyAlignment="1">
      <alignment horizontal="right" vertical="center"/>
    </xf>
    <xf numFmtId="43" fontId="7" fillId="2" borderId="1" xfId="1" applyFont="1" applyFill="1" applyBorder="1" applyAlignment="1">
      <alignment horizontal="right" vertical="center"/>
    </xf>
    <xf numFmtId="43" fontId="0" fillId="0" borderId="0" xfId="0" applyNumberFormat="1" applyAlignment="1">
      <alignment horizontal="right" vertical="center"/>
    </xf>
    <xf numFmtId="166" fontId="7" fillId="0" borderId="1" xfId="1" applyNumberFormat="1" applyFont="1" applyFill="1" applyBorder="1" applyAlignment="1">
      <alignment horizontal="right" vertical="center"/>
    </xf>
    <xf numFmtId="166" fontId="5" fillId="2" borderId="1" xfId="1"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7" fillId="3" borderId="1" xfId="1" applyNumberFormat="1" applyFont="1" applyFill="1" applyBorder="1" applyAlignment="1">
      <alignment horizontal="right" vertical="center"/>
    </xf>
    <xf numFmtId="43" fontId="7" fillId="3" borderId="1" xfId="1" applyFont="1" applyFill="1" applyBorder="1" applyAlignment="1">
      <alignment horizontal="right" vertical="center"/>
    </xf>
    <xf numFmtId="166" fontId="13" fillId="2" borderId="1" xfId="1" applyNumberFormat="1" applyFont="1" applyFill="1" applyBorder="1" applyAlignment="1">
      <alignment horizontal="right" vertical="center"/>
    </xf>
    <xf numFmtId="3" fontId="13" fillId="2" borderId="1" xfId="0" applyNumberFormat="1" applyFont="1" applyFill="1" applyBorder="1" applyAlignment="1">
      <alignment horizontal="right" vertical="center"/>
    </xf>
    <xf numFmtId="3" fontId="7" fillId="0" borderId="1" xfId="0" applyNumberFormat="1" applyFont="1" applyBorder="1" applyAlignment="1">
      <alignment horizontal="right" vertical="center"/>
    </xf>
    <xf numFmtId="166" fontId="13" fillId="0" borderId="1" xfId="1" applyNumberFormat="1" applyFont="1" applyFill="1" applyBorder="1" applyAlignment="1">
      <alignment horizontal="right" vertical="center"/>
    </xf>
    <xf numFmtId="0" fontId="0" fillId="0" borderId="0" xfId="0" applyAlignment="1">
      <alignment horizontal="right"/>
    </xf>
    <xf numFmtId="43" fontId="8" fillId="0" borderId="1" xfId="1" applyFont="1" applyBorder="1" applyAlignment="1">
      <alignment horizontal="right" vertical="center"/>
    </xf>
    <xf numFmtId="43" fontId="7" fillId="0" borderId="1" xfId="1" applyFont="1" applyBorder="1" applyAlignment="1">
      <alignment horizontal="right" vertical="center"/>
    </xf>
    <xf numFmtId="0" fontId="0" fillId="0" borderId="0" xfId="0" applyAlignment="1">
      <alignment horizontal="right" vertical="center"/>
    </xf>
    <xf numFmtId="166" fontId="7" fillId="0" borderId="1" xfId="1" applyNumberFormat="1" applyFont="1" applyFill="1" applyBorder="1" applyAlignment="1"/>
    <xf numFmtId="43" fontId="7" fillId="3" borderId="1" xfId="1" applyFont="1" applyFill="1" applyBorder="1" applyAlignment="1">
      <alignment horizontal="right" vertical="center" wrapText="1"/>
    </xf>
    <xf numFmtId="0" fontId="34" fillId="0" borderId="0" xfId="0" applyFont="1"/>
    <xf numFmtId="43" fontId="7" fillId="0" borderId="7" xfId="1" applyFont="1" applyFill="1" applyBorder="1" applyAlignment="1">
      <alignment horizontal="center" vertical="center" wrapText="1"/>
    </xf>
    <xf numFmtId="0" fontId="31" fillId="0" borderId="9" xfId="0" applyFont="1" applyBorder="1" applyAlignment="1">
      <alignment horizontal="center" vertical="center" wrapText="1"/>
    </xf>
    <xf numFmtId="2" fontId="30" fillId="0" borderId="11" xfId="0" applyNumberFormat="1" applyFont="1" applyBorder="1" applyAlignment="1">
      <alignment horizontal="center" vertical="center"/>
    </xf>
    <xf numFmtId="2" fontId="26" fillId="2" borderId="11" xfId="0" applyNumberFormat="1" applyFont="1" applyFill="1" applyBorder="1" applyAlignment="1">
      <alignment horizontal="center" vertical="center"/>
    </xf>
    <xf numFmtId="166" fontId="13" fillId="2" borderId="12" xfId="1" applyNumberFormat="1" applyFont="1" applyFill="1" applyBorder="1" applyAlignment="1">
      <alignment horizontal="right" vertical="center"/>
    </xf>
    <xf numFmtId="2" fontId="27" fillId="0" borderId="11" xfId="1" applyNumberFormat="1" applyFont="1" applyFill="1" applyBorder="1" applyAlignment="1">
      <alignment horizontal="center" vertical="center"/>
    </xf>
    <xf numFmtId="166" fontId="7" fillId="0" borderId="12" xfId="1" applyNumberFormat="1" applyFont="1" applyFill="1" applyBorder="1" applyAlignment="1">
      <alignment horizontal="right" vertical="center"/>
    </xf>
    <xf numFmtId="2" fontId="28" fillId="0" borderId="11" xfId="0" applyNumberFormat="1" applyFont="1" applyBorder="1" applyAlignment="1">
      <alignment horizontal="center" vertical="center"/>
    </xf>
    <xf numFmtId="2" fontId="27" fillId="0" borderId="11" xfId="0" applyNumberFormat="1" applyFont="1" applyBorder="1" applyAlignment="1">
      <alignment horizontal="center" vertical="center"/>
    </xf>
    <xf numFmtId="2" fontId="21" fillId="3" borderId="11" xfId="4" applyNumberFormat="1" applyFont="1" applyFill="1" applyBorder="1" applyAlignment="1">
      <alignment horizontal="center" vertical="center"/>
    </xf>
    <xf numFmtId="2" fontId="26" fillId="2" borderId="11" xfId="4" applyNumberFormat="1" applyFont="1" applyFill="1" applyBorder="1" applyAlignment="1">
      <alignment horizontal="center" vertical="center"/>
    </xf>
    <xf numFmtId="166" fontId="5" fillId="2" borderId="12" xfId="1" applyNumberFormat="1" applyFont="1" applyFill="1" applyBorder="1" applyAlignment="1">
      <alignment horizontal="right" vertical="center"/>
    </xf>
    <xf numFmtId="2" fontId="28" fillId="0" borderId="11" xfId="1" applyNumberFormat="1" applyFont="1" applyFill="1" applyBorder="1" applyAlignment="1">
      <alignment horizontal="center" vertical="center"/>
    </xf>
    <xf numFmtId="166" fontId="8" fillId="0" borderId="12" xfId="1" applyNumberFormat="1" applyFont="1" applyFill="1" applyBorder="1" applyAlignment="1">
      <alignment horizontal="right" vertical="center"/>
    </xf>
    <xf numFmtId="2" fontId="21" fillId="3" borderId="11" xfId="0" applyNumberFormat="1" applyFont="1" applyFill="1" applyBorder="1" applyAlignment="1">
      <alignment horizontal="center" vertical="center"/>
    </xf>
    <xf numFmtId="2" fontId="27" fillId="3" borderId="11" xfId="0" applyNumberFormat="1" applyFont="1" applyFill="1" applyBorder="1" applyAlignment="1">
      <alignment horizontal="center" vertical="center"/>
    </xf>
    <xf numFmtId="166" fontId="7" fillId="3" borderId="12" xfId="1" applyNumberFormat="1" applyFont="1" applyFill="1" applyBorder="1" applyAlignment="1">
      <alignment horizontal="right" vertical="center"/>
    </xf>
    <xf numFmtId="2" fontId="27" fillId="0" borderId="11" xfId="1" applyNumberFormat="1" applyFont="1" applyFill="1" applyBorder="1" applyAlignment="1">
      <alignment horizontal="center" vertical="center" wrapText="1"/>
    </xf>
    <xf numFmtId="2" fontId="28" fillId="0"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wrapText="1"/>
    </xf>
    <xf numFmtId="2" fontId="26" fillId="2" borderId="11" xfId="1" applyNumberFormat="1" applyFont="1" applyFill="1" applyBorder="1" applyAlignment="1">
      <alignment horizontal="center" vertical="center" wrapText="1"/>
    </xf>
    <xf numFmtId="2" fontId="21" fillId="0"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wrapText="1"/>
    </xf>
    <xf numFmtId="2" fontId="28" fillId="3" borderId="11" xfId="1" applyNumberFormat="1" applyFont="1" applyFill="1" applyBorder="1" applyAlignment="1">
      <alignment horizontal="center" vertical="center" wrapText="1"/>
    </xf>
    <xf numFmtId="2" fontId="25" fillId="3" borderId="11" xfId="0" applyNumberFormat="1" applyFont="1" applyFill="1" applyBorder="1" applyAlignment="1">
      <alignment horizontal="center" vertical="center"/>
    </xf>
    <xf numFmtId="2" fontId="21" fillId="0" borderId="11" xfId="0" applyNumberFormat="1" applyFont="1" applyBorder="1" applyAlignment="1">
      <alignment horizontal="center" vertical="center"/>
    </xf>
    <xf numFmtId="43" fontId="5" fillId="2" borderId="1" xfId="0" applyNumberFormat="1" applyFont="1" applyFill="1" applyBorder="1" applyAlignment="1">
      <alignment horizontal="right" vertical="center"/>
    </xf>
    <xf numFmtId="169" fontId="5" fillId="2" borderId="1" xfId="3" applyNumberFormat="1" applyFont="1" applyFill="1" applyBorder="1" applyAlignment="1">
      <alignment horizontal="right" vertical="center"/>
    </xf>
    <xf numFmtId="166" fontId="20" fillId="3" borderId="1" xfId="1" applyNumberFormat="1" applyFont="1" applyFill="1" applyBorder="1" applyAlignment="1">
      <alignment horizontal="left" vertical="center" wrapText="1"/>
    </xf>
    <xf numFmtId="166" fontId="16" fillId="3" borderId="1" xfId="1" applyNumberFormat="1" applyFont="1" applyFill="1" applyBorder="1" applyAlignment="1">
      <alignment horizontal="center" vertical="center"/>
    </xf>
    <xf numFmtId="43" fontId="16" fillId="3" borderId="1" xfId="1" applyFont="1" applyFill="1" applyBorder="1" applyAlignment="1">
      <alignment horizontal="right" vertical="center"/>
    </xf>
    <xf numFmtId="166" fontId="16" fillId="3" borderId="1" xfId="1" applyNumberFormat="1" applyFont="1" applyFill="1" applyBorder="1" applyAlignment="1">
      <alignment horizontal="right" vertical="center"/>
    </xf>
    <xf numFmtId="166" fontId="16" fillId="3" borderId="12" xfId="1" applyNumberFormat="1" applyFont="1" applyFill="1" applyBorder="1" applyAlignment="1">
      <alignment horizontal="right" vertical="center"/>
    </xf>
    <xf numFmtId="166" fontId="16" fillId="3" borderId="1" xfId="1" applyNumberFormat="1" applyFont="1" applyFill="1" applyBorder="1" applyAlignment="1">
      <alignment horizontal="left" vertical="center" wrapText="1"/>
    </xf>
    <xf numFmtId="2" fontId="25" fillId="3" borderId="11" xfId="1" applyNumberFormat="1" applyFont="1" applyFill="1" applyBorder="1" applyAlignment="1">
      <alignment horizontal="center" vertical="center"/>
    </xf>
    <xf numFmtId="2" fontId="29" fillId="3" borderId="11" xfId="1" applyNumberFormat="1" applyFont="1" applyFill="1" applyBorder="1" applyAlignment="1">
      <alignment horizontal="center" vertical="center"/>
    </xf>
    <xf numFmtId="166" fontId="20" fillId="3" borderId="1" xfId="1" applyNumberFormat="1" applyFont="1" applyFill="1" applyBorder="1" applyAlignment="1">
      <alignment horizontal="center" vertical="center"/>
    </xf>
    <xf numFmtId="43" fontId="20" fillId="3" borderId="1" xfId="1" applyFont="1" applyFill="1" applyBorder="1" applyAlignment="1">
      <alignment horizontal="right" vertical="center"/>
    </xf>
    <xf numFmtId="166" fontId="20" fillId="3" borderId="1" xfId="1" applyNumberFormat="1" applyFont="1" applyFill="1" applyBorder="1" applyAlignment="1">
      <alignment horizontal="right" vertical="center"/>
    </xf>
    <xf numFmtId="2" fontId="30" fillId="3" borderId="11" xfId="1" applyNumberFormat="1" applyFont="1" applyFill="1" applyBorder="1" applyAlignment="1">
      <alignment horizontal="center" vertical="center"/>
    </xf>
    <xf numFmtId="2" fontId="27" fillId="0" borderId="11" xfId="0" applyNumberFormat="1" applyFont="1" applyBorder="1" applyAlignment="1">
      <alignment horizontal="center" vertical="center" wrapText="1"/>
    </xf>
    <xf numFmtId="2" fontId="28" fillId="0" borderId="11" xfId="0" applyNumberFormat="1" applyFont="1" applyBorder="1" applyAlignment="1">
      <alignment horizontal="center" vertical="center" wrapText="1"/>
    </xf>
    <xf numFmtId="2" fontId="26" fillId="0" borderId="11" xfId="0" applyNumberFormat="1" applyFont="1" applyBorder="1" applyAlignment="1">
      <alignment horizontal="center" vertical="center" wrapText="1"/>
    </xf>
    <xf numFmtId="2" fontId="21" fillId="0" borderId="11" xfId="0" applyNumberFormat="1" applyFont="1" applyBorder="1" applyAlignment="1">
      <alignment horizontal="center" vertical="center" wrapText="1"/>
    </xf>
    <xf numFmtId="2" fontId="26" fillId="2" borderId="11" xfId="1" applyNumberFormat="1" applyFont="1" applyFill="1" applyBorder="1" applyAlignment="1">
      <alignment horizontal="center" vertical="center"/>
    </xf>
    <xf numFmtId="2" fontId="27" fillId="3" borderId="11" xfId="1" applyNumberFormat="1" applyFont="1" applyFill="1" applyBorder="1" applyAlignment="1">
      <alignment horizontal="center" vertical="center"/>
    </xf>
    <xf numFmtId="2" fontId="26" fillId="0" borderId="11" xfId="1" applyNumberFormat="1" applyFont="1" applyFill="1" applyBorder="1" applyAlignment="1">
      <alignment horizontal="center" vertical="center" wrapText="1"/>
    </xf>
    <xf numFmtId="43" fontId="8" fillId="0" borderId="14" xfId="1" applyFont="1" applyFill="1" applyBorder="1" applyAlignment="1">
      <alignment horizontal="right" vertical="center"/>
    </xf>
    <xf numFmtId="166" fontId="8" fillId="0" borderId="14" xfId="1" applyNumberFormat="1" applyFont="1" applyFill="1" applyBorder="1" applyAlignment="1">
      <alignment horizontal="right" vertical="center"/>
    </xf>
    <xf numFmtId="166" fontId="8" fillId="0" borderId="15" xfId="1" applyNumberFormat="1" applyFont="1" applyFill="1" applyBorder="1" applyAlignment="1">
      <alignment horizontal="right" vertical="center"/>
    </xf>
    <xf numFmtId="2" fontId="5" fillId="2"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xf>
    <xf numFmtId="2" fontId="5" fillId="2" borderId="11" xfId="4" applyNumberFormat="1" applyFont="1" applyFill="1" applyBorder="1" applyAlignment="1">
      <alignment horizontal="center" vertical="center"/>
    </xf>
    <xf numFmtId="2" fontId="17" fillId="3" borderId="11" xfId="0" applyNumberFormat="1" applyFont="1" applyFill="1" applyBorder="1" applyAlignment="1">
      <alignment horizontal="center" vertical="center"/>
    </xf>
    <xf numFmtId="2" fontId="17" fillId="0" borderId="11" xfId="1" applyNumberFormat="1" applyFont="1" applyFill="1" applyBorder="1" applyAlignment="1">
      <alignment horizontal="center" vertical="center" wrapText="1"/>
    </xf>
    <xf numFmtId="2" fontId="5" fillId="2" borderId="11" xfId="1" applyNumberFormat="1" applyFont="1" applyFill="1" applyBorder="1" applyAlignment="1">
      <alignment horizontal="center" vertical="center" wrapText="1"/>
    </xf>
    <xf numFmtId="2" fontId="17" fillId="3" borderId="11" xfId="1" applyNumberFormat="1" applyFont="1" applyFill="1" applyBorder="1" applyAlignment="1">
      <alignment horizontal="center" vertical="center" wrapText="1"/>
    </xf>
    <xf numFmtId="2" fontId="21" fillId="3" borderId="11" xfId="1"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166" fontId="21" fillId="0" borderId="1" xfId="1" applyNumberFormat="1" applyFont="1" applyFill="1" applyBorder="1" applyAlignment="1">
      <alignment horizontal="center" vertical="center"/>
    </xf>
    <xf numFmtId="0" fontId="0" fillId="0" borderId="0" xfId="0" applyAlignment="1">
      <alignment horizontal="left"/>
    </xf>
    <xf numFmtId="166" fontId="9" fillId="0" borderId="1" xfId="1" applyNumberFormat="1" applyFont="1" applyFill="1" applyBorder="1" applyAlignment="1">
      <alignment vertical="center"/>
    </xf>
    <xf numFmtId="4" fontId="13" fillId="2" borderId="1" xfId="0" applyNumberFormat="1" applyFont="1" applyFill="1" applyBorder="1" applyAlignment="1">
      <alignment vertical="center"/>
    </xf>
    <xf numFmtId="166" fontId="9" fillId="0" borderId="1" xfId="1" applyNumberFormat="1" applyFont="1" applyFill="1" applyBorder="1" applyAlignment="1">
      <alignment horizontal="right" vertical="center"/>
    </xf>
    <xf numFmtId="4" fontId="13" fillId="2" borderId="1" xfId="0" applyNumberFormat="1" applyFont="1" applyFill="1" applyBorder="1" applyAlignment="1">
      <alignment horizontal="right" vertical="center"/>
    </xf>
    <xf numFmtId="43" fontId="15" fillId="0" borderId="1" xfId="0" applyNumberFormat="1" applyFont="1" applyBorder="1" applyAlignment="1">
      <alignment vertical="center"/>
    </xf>
    <xf numFmtId="43" fontId="5" fillId="2" borderId="1" xfId="1" applyFont="1" applyFill="1" applyBorder="1" applyAlignment="1">
      <alignment vertical="center"/>
    </xf>
    <xf numFmtId="43" fontId="8" fillId="0" borderId="1" xfId="0" applyNumberFormat="1" applyFont="1" applyBorder="1" applyAlignment="1">
      <alignment vertical="center"/>
    </xf>
    <xf numFmtId="43" fontId="14" fillId="3" borderId="1" xfId="1" applyFont="1" applyFill="1" applyBorder="1" applyAlignment="1">
      <alignment vertical="center"/>
    </xf>
    <xf numFmtId="43" fontId="8" fillId="3" borderId="1" xfId="1" applyFont="1" applyFill="1" applyBorder="1" applyAlignment="1">
      <alignment vertical="center"/>
    </xf>
    <xf numFmtId="166" fontId="14" fillId="0" borderId="1" xfId="1" applyNumberFormat="1" applyFont="1" applyFill="1" applyBorder="1" applyAlignment="1">
      <alignment vertical="center"/>
    </xf>
    <xf numFmtId="43" fontId="9" fillId="0" borderId="1" xfId="1" applyFont="1" applyFill="1" applyBorder="1" applyAlignment="1">
      <alignment vertical="center"/>
    </xf>
    <xf numFmtId="43" fontId="13" fillId="2" borderId="1" xfId="1" applyFont="1" applyFill="1" applyBorder="1" applyAlignment="1">
      <alignment vertical="center"/>
    </xf>
    <xf numFmtId="0" fontId="7" fillId="3" borderId="1" xfId="5" applyFont="1" applyFill="1" applyBorder="1" applyAlignment="1">
      <alignment vertical="center"/>
    </xf>
    <xf numFmtId="43" fontId="13" fillId="0" borderId="1" xfId="1" applyFont="1" applyFill="1" applyBorder="1" applyAlignment="1">
      <alignment vertical="center"/>
    </xf>
    <xf numFmtId="43" fontId="7" fillId="3" borderId="1" xfId="1" applyFont="1" applyFill="1" applyBorder="1" applyAlignment="1">
      <alignment vertical="center"/>
    </xf>
    <xf numFmtId="0" fontId="31" fillId="0" borderId="8" xfId="0" applyFont="1" applyBorder="1" applyAlignment="1">
      <alignment horizontal="center" vertical="center" wrapText="1"/>
    </xf>
    <xf numFmtId="0" fontId="34" fillId="0" borderId="0" xfId="0" applyFont="1" applyAlignment="1">
      <alignment horizontal="center" vertical="center"/>
    </xf>
    <xf numFmtId="2" fontId="21" fillId="0" borderId="8" xfId="0" applyNumberFormat="1" applyFont="1" applyBorder="1" applyAlignment="1">
      <alignment horizontal="center" vertical="center" wrapText="1"/>
    </xf>
    <xf numFmtId="2" fontId="17" fillId="0" borderId="1" xfId="0" applyNumberFormat="1" applyFont="1" applyBorder="1" applyAlignment="1">
      <alignment horizontal="center" vertical="center"/>
    </xf>
    <xf numFmtId="2" fontId="19" fillId="3" borderId="1" xfId="0" applyNumberFormat="1" applyFont="1" applyFill="1" applyBorder="1" applyAlignment="1">
      <alignment horizontal="center" vertical="center"/>
    </xf>
    <xf numFmtId="2" fontId="19" fillId="0" borderId="1" xfId="0" applyNumberFormat="1" applyFont="1" applyBorder="1" applyAlignment="1">
      <alignment horizontal="center" vertical="center"/>
    </xf>
    <xf numFmtId="2" fontId="18" fillId="0" borderId="0" xfId="0" applyNumberFormat="1" applyFont="1" applyAlignment="1">
      <alignment horizontal="center" vertical="center"/>
    </xf>
    <xf numFmtId="43" fontId="21" fillId="0" borderId="1" xfId="1" applyFont="1" applyFill="1" applyBorder="1" applyAlignment="1">
      <alignment vertical="center"/>
    </xf>
    <xf numFmtId="43" fontId="7" fillId="0" borderId="7" xfId="1" applyFont="1" applyFill="1" applyBorder="1" applyAlignment="1">
      <alignment horizontal="center" vertical="center"/>
    </xf>
    <xf numFmtId="2" fontId="19" fillId="3" borderId="11" xfId="0" applyNumberFormat="1" applyFont="1" applyFill="1" applyBorder="1" applyAlignment="1">
      <alignment horizontal="center" vertical="center"/>
    </xf>
    <xf numFmtId="43" fontId="5" fillId="2" borderId="1" xfId="0" applyNumberFormat="1" applyFont="1" applyFill="1" applyBorder="1" applyAlignment="1">
      <alignment vertical="center"/>
    </xf>
    <xf numFmtId="2" fontId="16" fillId="3" borderId="1" xfId="1" applyNumberFormat="1" applyFont="1" applyFill="1" applyBorder="1" applyAlignment="1">
      <alignment vertical="center"/>
    </xf>
    <xf numFmtId="2" fontId="19" fillId="3" borderId="11" xfId="1" applyNumberFormat="1" applyFont="1" applyFill="1" applyBorder="1" applyAlignment="1">
      <alignment horizontal="center" vertical="center"/>
    </xf>
    <xf numFmtId="2" fontId="17" fillId="0" borderId="11" xfId="0" applyNumberFormat="1" applyFont="1" applyBorder="1" applyAlignment="1">
      <alignment horizontal="center" vertical="center" wrapText="1"/>
    </xf>
    <xf numFmtId="2" fontId="5" fillId="0" borderId="11" xfId="0" applyNumberFormat="1" applyFont="1" applyBorder="1" applyAlignment="1">
      <alignment horizontal="center" vertical="center" wrapText="1"/>
    </xf>
    <xf numFmtId="2" fontId="5" fillId="2" borderId="11" xfId="1" applyNumberFormat="1" applyFont="1" applyFill="1" applyBorder="1" applyAlignment="1">
      <alignment horizontal="center" vertical="center"/>
    </xf>
    <xf numFmtId="2" fontId="17" fillId="3" borderId="11" xfId="1" applyNumberFormat="1" applyFont="1" applyFill="1" applyBorder="1" applyAlignment="1">
      <alignment horizontal="center" vertical="center"/>
    </xf>
    <xf numFmtId="2" fontId="5" fillId="0" borderId="11" xfId="1" applyNumberFormat="1" applyFont="1" applyFill="1" applyBorder="1" applyAlignment="1">
      <alignment horizontal="center" vertical="center" wrapText="1"/>
    </xf>
    <xf numFmtId="166" fontId="8" fillId="0" borderId="14" xfId="1" applyNumberFormat="1" applyFont="1" applyFill="1" applyBorder="1" applyAlignment="1">
      <alignment horizontal="center" vertical="center"/>
    </xf>
    <xf numFmtId="2" fontId="20" fillId="3" borderId="1" xfId="1" applyNumberFormat="1" applyFont="1" applyFill="1" applyBorder="1" applyAlignment="1">
      <alignment vertical="center"/>
    </xf>
    <xf numFmtId="43" fontId="7" fillId="2" borderId="1" xfId="1" applyFont="1" applyFill="1" applyBorder="1" applyAlignment="1">
      <alignment vertical="center"/>
    </xf>
    <xf numFmtId="167" fontId="7" fillId="0" borderId="1" xfId="1" applyNumberFormat="1" applyFont="1" applyFill="1" applyBorder="1" applyAlignment="1">
      <alignment vertical="center"/>
    </xf>
    <xf numFmtId="167" fontId="7" fillId="3" borderId="1" xfId="1" applyNumberFormat="1" applyFont="1" applyFill="1" applyBorder="1" applyAlignment="1">
      <alignment vertical="center"/>
    </xf>
    <xf numFmtId="43" fontId="22" fillId="0" borderId="0" xfId="0" applyNumberFormat="1" applyFont="1" applyAlignment="1">
      <alignment horizontal="right" vertical="center"/>
    </xf>
    <xf numFmtId="0" fontId="7" fillId="0" borderId="1" xfId="0" applyFont="1" applyBorder="1" applyAlignment="1">
      <alignment horizontal="center" vertical="center" wrapText="1"/>
    </xf>
    <xf numFmtId="167" fontId="7" fillId="0" borderId="1" xfId="1" applyNumberFormat="1" applyFont="1" applyFill="1" applyBorder="1" applyAlignment="1">
      <alignment horizontal="right" vertical="center"/>
    </xf>
    <xf numFmtId="167" fontId="7" fillId="3" borderId="1" xfId="1" applyNumberFormat="1" applyFont="1" applyFill="1" applyBorder="1" applyAlignment="1">
      <alignment horizontal="right" vertical="center"/>
    </xf>
    <xf numFmtId="2" fontId="16" fillId="3" borderId="1" xfId="1" applyNumberFormat="1" applyFont="1" applyFill="1" applyBorder="1" applyAlignment="1">
      <alignment horizontal="right" vertical="center"/>
    </xf>
    <xf numFmtId="2" fontId="20" fillId="3" borderId="1" xfId="1" applyNumberFormat="1" applyFont="1" applyFill="1" applyBorder="1" applyAlignment="1">
      <alignment horizontal="right" vertical="center"/>
    </xf>
    <xf numFmtId="0" fontId="22" fillId="3" borderId="0" xfId="0" applyFont="1" applyFill="1" applyAlignment="1">
      <alignment horizontal="center" vertical="center"/>
    </xf>
    <xf numFmtId="168" fontId="5" fillId="2" borderId="1" xfId="0" applyNumberFormat="1" applyFont="1" applyFill="1" applyBorder="1" applyAlignment="1">
      <alignment horizontal="right" vertical="center"/>
    </xf>
    <xf numFmtId="0" fontId="7" fillId="3" borderId="1" xfId="5" applyFont="1" applyFill="1" applyBorder="1" applyAlignment="1">
      <alignment horizontal="left" vertical="top" wrapText="1"/>
    </xf>
    <xf numFmtId="0" fontId="7" fillId="3" borderId="1" xfId="5" applyFont="1" applyFill="1" applyBorder="1" applyAlignment="1">
      <alignment horizontal="center" vertical="top" wrapText="1"/>
    </xf>
    <xf numFmtId="43" fontId="7" fillId="3" borderId="1" xfId="5" applyNumberFormat="1" applyFont="1" applyFill="1" applyBorder="1" applyAlignment="1">
      <alignment horizontal="right" vertical="top" wrapText="1"/>
    </xf>
    <xf numFmtId="0" fontId="8" fillId="3" borderId="1" xfId="5" applyFont="1" applyFill="1" applyBorder="1" applyAlignment="1">
      <alignment horizontal="left" vertical="top" wrapText="1"/>
    </xf>
    <xf numFmtId="166" fontId="8" fillId="3" borderId="1" xfId="1" applyNumberFormat="1" applyFont="1" applyFill="1" applyBorder="1" applyAlignment="1">
      <alignment horizontal="center" vertical="center"/>
    </xf>
    <xf numFmtId="166" fontId="8" fillId="3" borderId="1" xfId="1" applyNumberFormat="1" applyFont="1" applyFill="1" applyBorder="1" applyAlignment="1">
      <alignment horizontal="right" vertical="center"/>
    </xf>
    <xf numFmtId="43" fontId="5" fillId="2" borderId="1" xfId="7" applyFont="1" applyFill="1" applyBorder="1" applyAlignment="1">
      <alignment horizontal="center" vertical="center" wrapText="1"/>
    </xf>
    <xf numFmtId="0" fontId="38" fillId="0" borderId="0" xfId="0" applyFont="1"/>
    <xf numFmtId="172" fontId="5" fillId="2" borderId="1" xfId="2" applyNumberFormat="1" applyFont="1" applyFill="1" applyBorder="1" applyAlignment="1">
      <alignment horizontal="left" vertical="center" wrapText="1"/>
    </xf>
    <xf numFmtId="171" fontId="5" fillId="2" borderId="1" xfId="1" applyNumberFormat="1" applyFont="1" applyFill="1" applyBorder="1" applyAlignment="1">
      <alignment vertical="center"/>
    </xf>
    <xf numFmtId="41" fontId="7" fillId="0" borderId="1" xfId="2" applyFont="1" applyFill="1" applyBorder="1" applyAlignment="1">
      <alignment vertical="center"/>
    </xf>
    <xf numFmtId="0" fontId="8" fillId="3" borderId="1" xfId="5" applyFont="1" applyFill="1" applyBorder="1" applyAlignment="1">
      <alignment horizontal="center" vertical="top" wrapText="1"/>
    </xf>
    <xf numFmtId="43" fontId="8" fillId="3" borderId="1" xfId="5" applyNumberFormat="1" applyFont="1" applyFill="1" applyBorder="1" applyAlignment="1">
      <alignment horizontal="right" vertical="top" wrapText="1"/>
    </xf>
    <xf numFmtId="0" fontId="7" fillId="0" borderId="1" xfId="0" applyFont="1" applyBorder="1" applyAlignment="1">
      <alignment horizontal="right" vertical="center" wrapText="1"/>
    </xf>
    <xf numFmtId="164" fontId="7" fillId="0" borderId="1" xfId="2" applyNumberFormat="1" applyFont="1" applyBorder="1" applyAlignment="1">
      <alignment horizontal="right" vertical="center" wrapText="1"/>
    </xf>
    <xf numFmtId="0" fontId="5" fillId="2" borderId="1" xfId="0" applyFont="1" applyFill="1" applyBorder="1" applyAlignment="1">
      <alignment horizontal="right" vertical="center" wrapText="1"/>
    </xf>
    <xf numFmtId="43" fontId="7" fillId="0" borderId="7" xfId="1" applyFont="1" applyFill="1" applyBorder="1" applyAlignment="1">
      <alignmen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170" fontId="5" fillId="2" borderId="1" xfId="1" applyNumberFormat="1" applyFont="1" applyFill="1" applyBorder="1" applyAlignment="1">
      <alignment horizontal="right" vertical="center"/>
    </xf>
    <xf numFmtId="166" fontId="31" fillId="0" borderId="9" xfId="0" applyNumberFormat="1" applyFont="1" applyBorder="1" applyAlignment="1">
      <alignment horizontal="right" vertical="center" wrapText="1"/>
    </xf>
    <xf numFmtId="166" fontId="8" fillId="0" borderId="1" xfId="1" applyNumberFormat="1" applyFont="1" applyBorder="1" applyAlignment="1">
      <alignment horizontal="right" vertical="center"/>
    </xf>
    <xf numFmtId="166" fontId="7" fillId="0" borderId="1" xfId="1" applyNumberFormat="1" applyFont="1" applyBorder="1" applyAlignment="1">
      <alignment horizontal="right" vertical="center"/>
    </xf>
    <xf numFmtId="166" fontId="5" fillId="2" borderId="1" xfId="3" applyNumberFormat="1" applyFont="1" applyFill="1" applyBorder="1" applyAlignment="1">
      <alignment horizontal="right" vertical="center"/>
    </xf>
    <xf numFmtId="166" fontId="13" fillId="2" borderId="1" xfId="0" applyNumberFormat="1" applyFont="1" applyFill="1" applyBorder="1" applyAlignment="1">
      <alignment horizontal="right" vertical="center"/>
    </xf>
    <xf numFmtId="166" fontId="7" fillId="0" borderId="1" xfId="0" applyNumberFormat="1" applyFont="1" applyBorder="1" applyAlignment="1">
      <alignment horizontal="right" vertical="center"/>
    </xf>
    <xf numFmtId="166" fontId="21" fillId="0" borderId="1" xfId="1" applyNumberFormat="1" applyFont="1" applyFill="1" applyBorder="1" applyAlignment="1">
      <alignment horizontal="right" vertical="center"/>
    </xf>
    <xf numFmtId="166" fontId="0" fillId="0" borderId="0" xfId="0" applyNumberFormat="1" applyAlignment="1">
      <alignment horizontal="right" vertical="center"/>
    </xf>
    <xf numFmtId="166" fontId="5" fillId="2" borderId="1" xfId="2" applyNumberFormat="1" applyFont="1" applyFill="1" applyBorder="1" applyAlignment="1">
      <alignment horizontal="right" vertical="center" wrapText="1"/>
    </xf>
    <xf numFmtId="166" fontId="7" fillId="0" borderId="1" xfId="2" applyNumberFormat="1" applyFont="1" applyBorder="1" applyAlignment="1">
      <alignment horizontal="right" vertical="center" wrapText="1"/>
    </xf>
    <xf numFmtId="43" fontId="5" fillId="2" borderId="1" xfId="0" applyNumberFormat="1" applyFont="1" applyFill="1" applyBorder="1" applyAlignment="1">
      <alignment horizontal="right" vertical="center" wrapText="1"/>
    </xf>
    <xf numFmtId="166" fontId="31" fillId="0" borderId="10" xfId="0" applyNumberFormat="1" applyFont="1" applyBorder="1" applyAlignment="1">
      <alignment horizontal="right" vertical="center" wrapText="1"/>
    </xf>
    <xf numFmtId="166" fontId="8" fillId="0" borderId="12" xfId="1" applyNumberFormat="1" applyFont="1" applyBorder="1" applyAlignment="1">
      <alignment horizontal="right" vertical="center"/>
    </xf>
    <xf numFmtId="166" fontId="7" fillId="0" borderId="12" xfId="1" applyNumberFormat="1" applyFont="1" applyBorder="1" applyAlignment="1">
      <alignment horizontal="right" vertical="center"/>
    </xf>
    <xf numFmtId="166" fontId="7" fillId="0" borderId="12" xfId="1" applyNumberFormat="1" applyFont="1" applyFill="1" applyBorder="1" applyAlignment="1">
      <alignment horizontal="right" vertical="center" wrapText="1"/>
    </xf>
    <xf numFmtId="166" fontId="8" fillId="0" borderId="12" xfId="1" applyNumberFormat="1" applyFont="1" applyFill="1" applyBorder="1" applyAlignment="1">
      <alignment horizontal="right" vertical="center" wrapText="1"/>
    </xf>
    <xf numFmtId="166" fontId="13" fillId="2" borderId="12" xfId="1" applyNumberFormat="1" applyFont="1" applyFill="1" applyBorder="1" applyAlignment="1">
      <alignment horizontal="right" vertical="center" wrapText="1"/>
    </xf>
    <xf numFmtId="166" fontId="7" fillId="3" borderId="12" xfId="1" applyNumberFormat="1" applyFont="1" applyFill="1" applyBorder="1" applyAlignment="1">
      <alignment horizontal="right" vertical="center" wrapText="1"/>
    </xf>
    <xf numFmtId="166" fontId="8" fillId="3" borderId="12" xfId="1" applyNumberFormat="1" applyFont="1" applyFill="1" applyBorder="1" applyAlignment="1">
      <alignment horizontal="right" vertical="center" wrapText="1"/>
    </xf>
    <xf numFmtId="166" fontId="20" fillId="3" borderId="12" xfId="1" applyNumberFormat="1" applyFont="1" applyFill="1" applyBorder="1" applyAlignment="1">
      <alignment horizontal="right" vertical="center"/>
    </xf>
    <xf numFmtId="166" fontId="5" fillId="2" borderId="12" xfId="1" applyNumberFormat="1" applyFont="1" applyFill="1" applyBorder="1" applyAlignment="1">
      <alignment horizontal="right" vertical="center" wrapText="1"/>
    </xf>
    <xf numFmtId="166" fontId="21" fillId="0" borderId="12" xfId="1" applyNumberFormat="1" applyFont="1" applyFill="1" applyBorder="1" applyAlignment="1">
      <alignment horizontal="right" vertical="center" wrapText="1"/>
    </xf>
    <xf numFmtId="166" fontId="13" fillId="0" borderId="12" xfId="1" applyNumberFormat="1" applyFont="1" applyFill="1" applyBorder="1" applyAlignment="1">
      <alignment horizontal="right" vertical="center" wrapText="1"/>
    </xf>
    <xf numFmtId="164" fontId="7" fillId="3" borderId="1" xfId="2" applyNumberFormat="1" applyFont="1" applyFill="1" applyBorder="1" applyAlignment="1">
      <alignment vertical="center"/>
    </xf>
    <xf numFmtId="43" fontId="7" fillId="0" borderId="1" xfId="0" applyNumberFormat="1" applyFont="1" applyBorder="1" applyAlignment="1">
      <alignment horizontal="right" vertical="center" wrapText="1"/>
    </xf>
    <xf numFmtId="166" fontId="31" fillId="0" borderId="9" xfId="0" applyNumberFormat="1" applyFont="1" applyBorder="1" applyAlignment="1">
      <alignment horizontal="center" vertical="center" wrapText="1"/>
    </xf>
    <xf numFmtId="166" fontId="5" fillId="2" borderId="1" xfId="2" applyNumberFormat="1" applyFont="1" applyFill="1" applyBorder="1" applyAlignment="1">
      <alignment horizontal="left" vertical="center" wrapText="1"/>
    </xf>
    <xf numFmtId="166" fontId="31" fillId="0" borderId="10" xfId="0" applyNumberFormat="1" applyFont="1" applyBorder="1" applyAlignment="1">
      <alignment horizontal="center" vertical="center" wrapText="1"/>
    </xf>
    <xf numFmtId="2" fontId="19" fillId="0" borderId="11" xfId="0" applyNumberFormat="1" applyFont="1" applyBorder="1" applyAlignment="1">
      <alignment horizontal="center" vertical="center"/>
    </xf>
    <xf numFmtId="166" fontId="5" fillId="2" borderId="12" xfId="1" applyNumberFormat="1" applyFont="1" applyFill="1" applyBorder="1" applyAlignment="1">
      <alignment vertical="center"/>
    </xf>
    <xf numFmtId="166" fontId="7" fillId="3" borderId="12" xfId="1" applyNumberFormat="1" applyFont="1" applyFill="1" applyBorder="1" applyAlignment="1">
      <alignment vertical="center"/>
    </xf>
    <xf numFmtId="2" fontId="7" fillId="0" borderId="1" xfId="1" applyNumberFormat="1" applyFont="1" applyFill="1" applyBorder="1" applyAlignment="1">
      <alignment horizontal="left" vertical="center"/>
    </xf>
    <xf numFmtId="2" fontId="18" fillId="0" borderId="11" xfId="0" applyNumberFormat="1" applyFont="1" applyBorder="1" applyAlignment="1">
      <alignment horizontal="center" vertical="center"/>
    </xf>
    <xf numFmtId="0" fontId="0" fillId="0" borderId="1" xfId="0" applyBorder="1" applyAlignment="1">
      <alignment horizontal="center" vertical="center"/>
    </xf>
    <xf numFmtId="43" fontId="0" fillId="0" borderId="1" xfId="0" applyNumberFormat="1" applyBorder="1" applyAlignment="1">
      <alignment horizontal="right" vertical="center"/>
    </xf>
    <xf numFmtId="166" fontId="0" fillId="0" borderId="1" xfId="0" applyNumberFormat="1" applyBorder="1" applyAlignment="1">
      <alignment horizontal="right" vertical="center"/>
    </xf>
    <xf numFmtId="166" fontId="0" fillId="0" borderId="12" xfId="0" applyNumberFormat="1" applyBorder="1" applyAlignment="1">
      <alignment horizontal="right" vertical="center"/>
    </xf>
    <xf numFmtId="166" fontId="5" fillId="2" borderId="12" xfId="0" applyNumberFormat="1" applyFont="1" applyFill="1" applyBorder="1" applyAlignment="1">
      <alignment horizontal="left" vertical="center" wrapText="1"/>
    </xf>
    <xf numFmtId="166" fontId="7" fillId="0" borderId="12" xfId="0" applyNumberFormat="1" applyFont="1" applyBorder="1" applyAlignment="1">
      <alignment horizontal="right" vertical="center" wrapText="1"/>
    </xf>
    <xf numFmtId="2" fontId="18" fillId="0" borderId="13" xfId="0" applyNumberFormat="1" applyFont="1" applyBorder="1" applyAlignment="1">
      <alignment horizontal="center" vertical="center"/>
    </xf>
    <xf numFmtId="166" fontId="8" fillId="0" borderId="14" xfId="1" applyNumberFormat="1" applyFont="1" applyFill="1" applyBorder="1" applyAlignment="1">
      <alignment horizontal="left" vertical="center" wrapText="1"/>
    </xf>
    <xf numFmtId="166" fontId="10" fillId="3" borderId="0" xfId="1" applyNumberFormat="1" applyFont="1" applyFill="1" applyAlignment="1">
      <alignment horizontal="center"/>
    </xf>
    <xf numFmtId="0" fontId="10" fillId="3" borderId="0" xfId="0" applyFont="1" applyFill="1" applyAlignment="1">
      <alignment horizontal="center"/>
    </xf>
    <xf numFmtId="2" fontId="30" fillId="0" borderId="1" xfId="0" applyNumberFormat="1" applyFont="1" applyBorder="1" applyAlignment="1">
      <alignment horizontal="center" vertical="center"/>
    </xf>
    <xf numFmtId="2" fontId="18" fillId="0" borderId="1" xfId="0" applyNumberFormat="1" applyFont="1" applyBorder="1" applyAlignment="1">
      <alignment horizontal="center" vertical="center"/>
    </xf>
    <xf numFmtId="0" fontId="0" fillId="0" borderId="1" xfId="0" applyBorder="1" applyAlignment="1">
      <alignment horizontal="right" vertical="center"/>
    </xf>
    <xf numFmtId="166" fontId="5" fillId="2" borderId="12" xfId="0" applyNumberFormat="1" applyFont="1" applyFill="1" applyBorder="1" applyAlignment="1">
      <alignment horizontal="right" vertical="center" wrapText="1"/>
    </xf>
    <xf numFmtId="43" fontId="31" fillId="0" borderId="9" xfId="0" applyNumberFormat="1" applyFont="1" applyBorder="1" applyAlignment="1">
      <alignment horizontal="center" vertical="center"/>
    </xf>
    <xf numFmtId="2" fontId="33" fillId="0" borderId="0" xfId="0" applyNumberFormat="1" applyFont="1" applyAlignment="1">
      <alignment horizontal="center" vertical="center"/>
    </xf>
    <xf numFmtId="166" fontId="7" fillId="3" borderId="1" xfId="5" applyNumberFormat="1" applyFont="1" applyFill="1" applyBorder="1" applyAlignment="1">
      <alignment horizontal="right" vertical="top" wrapText="1"/>
    </xf>
    <xf numFmtId="166" fontId="7" fillId="3" borderId="1" xfId="1" applyNumberFormat="1" applyFont="1" applyFill="1" applyBorder="1" applyAlignment="1">
      <alignment horizontal="right" vertical="top" wrapText="1"/>
    </xf>
    <xf numFmtId="166" fontId="8" fillId="3" borderId="1" xfId="1" applyNumberFormat="1" applyFont="1" applyFill="1" applyBorder="1" applyAlignment="1">
      <alignment horizontal="right" vertical="top" wrapText="1"/>
    </xf>
    <xf numFmtId="166" fontId="0" fillId="0" borderId="0" xfId="0" applyNumberFormat="1"/>
    <xf numFmtId="166" fontId="7" fillId="0" borderId="1" xfId="1" applyNumberFormat="1" applyFont="1" applyFill="1" applyBorder="1" applyAlignment="1">
      <alignment horizontal="center" vertical="center" wrapText="1"/>
    </xf>
    <xf numFmtId="43" fontId="23" fillId="0" borderId="1" xfId="1" applyFont="1" applyFill="1" applyBorder="1" applyAlignment="1">
      <alignment horizontal="left" vertical="center" wrapText="1"/>
    </xf>
    <xf numFmtId="43" fontId="13" fillId="3" borderId="1" xfId="7" applyFont="1" applyFill="1" applyBorder="1" applyAlignment="1">
      <alignment horizontal="center" vertical="center"/>
    </xf>
    <xf numFmtId="43" fontId="7" fillId="3" borderId="1" xfId="7" applyFont="1" applyFill="1" applyBorder="1" applyAlignment="1">
      <alignment horizontal="center" vertical="center" wrapText="1"/>
    </xf>
    <xf numFmtId="166" fontId="7" fillId="0" borderId="1" xfId="0" applyNumberFormat="1" applyFont="1" applyBorder="1" applyAlignment="1">
      <alignment horizontal="right"/>
    </xf>
    <xf numFmtId="43" fontId="5" fillId="2" borderId="1" xfId="7" applyFont="1" applyFill="1" applyBorder="1" applyAlignment="1">
      <alignment horizontal="right" vertical="center"/>
    </xf>
    <xf numFmtId="43" fontId="13" fillId="3" borderId="1" xfId="7" applyFont="1" applyFill="1" applyBorder="1" applyAlignment="1">
      <alignment horizontal="right" vertical="center"/>
    </xf>
    <xf numFmtId="43" fontId="7" fillId="3" borderId="1" xfId="7" applyFont="1" applyFill="1" applyBorder="1" applyAlignment="1">
      <alignment horizontal="right" vertical="center"/>
    </xf>
    <xf numFmtId="166" fontId="7" fillId="0" borderId="1" xfId="0" applyNumberFormat="1" applyFont="1" applyBorder="1" applyAlignment="1">
      <alignment horizontal="center"/>
    </xf>
    <xf numFmtId="166" fontId="5" fillId="2" borderId="1" xfId="7" applyNumberFormat="1" applyFont="1" applyFill="1" applyBorder="1" applyAlignment="1">
      <alignment horizontal="right" vertical="center"/>
    </xf>
    <xf numFmtId="166" fontId="13" fillId="3" borderId="1" xfId="7" applyNumberFormat="1" applyFont="1" applyFill="1" applyBorder="1" applyAlignment="1">
      <alignment horizontal="right" vertical="center"/>
    </xf>
    <xf numFmtId="166" fontId="23" fillId="0" borderId="1" xfId="1" applyNumberFormat="1" applyFont="1" applyFill="1" applyBorder="1" applyAlignment="1">
      <alignment horizontal="right" vertical="center"/>
    </xf>
    <xf numFmtId="166" fontId="7" fillId="3" borderId="1" xfId="7" applyNumberFormat="1" applyFont="1" applyFill="1" applyBorder="1" applyAlignment="1">
      <alignment horizontal="right" vertical="center"/>
    </xf>
    <xf numFmtId="166" fontId="0" fillId="0" borderId="0" xfId="0" applyNumberFormat="1" applyAlignment="1">
      <alignment horizontal="right"/>
    </xf>
    <xf numFmtId="2" fontId="41" fillId="0" borderId="17" xfId="0" applyNumberFormat="1" applyFont="1" applyBorder="1" applyAlignment="1">
      <alignment horizontal="center" vertical="center"/>
    </xf>
    <xf numFmtId="166" fontId="41" fillId="0" borderId="19" xfId="0" applyNumberFormat="1" applyFont="1" applyBorder="1" applyAlignment="1">
      <alignment horizontal="right" vertical="center"/>
    </xf>
    <xf numFmtId="0" fontId="41" fillId="0" borderId="0" xfId="0" applyFont="1"/>
    <xf numFmtId="2" fontId="21" fillId="0" borderId="13" xfId="1" applyNumberFormat="1" applyFont="1" applyFill="1" applyBorder="1" applyAlignment="1">
      <alignment horizontal="center" vertical="center"/>
    </xf>
    <xf numFmtId="166" fontId="8" fillId="0" borderId="1" xfId="1" applyNumberFormat="1" applyFont="1" applyBorder="1" applyAlignment="1">
      <alignment horizontal="center"/>
    </xf>
    <xf numFmtId="166" fontId="13" fillId="2" borderId="1" xfId="0" applyNumberFormat="1" applyFont="1" applyFill="1" applyBorder="1" applyAlignment="1">
      <alignment vertical="center"/>
    </xf>
    <xf numFmtId="166" fontId="7" fillId="0" borderId="1" xfId="0" applyNumberFormat="1" applyFont="1" applyBorder="1" applyAlignment="1">
      <alignment vertical="center"/>
    </xf>
    <xf numFmtId="0" fontId="41" fillId="3" borderId="0" xfId="0" applyFont="1" applyFill="1"/>
    <xf numFmtId="2" fontId="41" fillId="3" borderId="17" xfId="0" applyNumberFormat="1" applyFont="1" applyFill="1" applyBorder="1" applyAlignment="1">
      <alignment horizontal="center" vertical="center"/>
    </xf>
    <xf numFmtId="166" fontId="41" fillId="3" borderId="19" xfId="0" applyNumberFormat="1" applyFont="1" applyFill="1" applyBorder="1" applyAlignment="1">
      <alignment horizontal="right" vertical="center"/>
    </xf>
    <xf numFmtId="43" fontId="0" fillId="0" borderId="0" xfId="0" applyNumberFormat="1" applyAlignment="1">
      <alignment horizontal="center" vertical="center"/>
    </xf>
    <xf numFmtId="166" fontId="7" fillId="0" borderId="12" xfId="1" applyNumberFormat="1" applyFont="1" applyFill="1" applyBorder="1" applyAlignment="1">
      <alignment vertical="center"/>
    </xf>
    <xf numFmtId="166" fontId="3" fillId="0" borderId="0" xfId="0" applyNumberFormat="1" applyFont="1" applyAlignment="1">
      <alignment horizontal="right"/>
    </xf>
    <xf numFmtId="166" fontId="7" fillId="0" borderId="1" xfId="1" applyNumberFormat="1" applyFont="1" applyBorder="1" applyAlignment="1">
      <alignment vertical="center" wrapText="1"/>
    </xf>
    <xf numFmtId="43" fontId="7" fillId="0" borderId="1" xfId="1" applyFont="1" applyBorder="1" applyAlignment="1">
      <alignment vertical="center" wrapText="1"/>
    </xf>
    <xf numFmtId="43" fontId="7" fillId="0" borderId="1" xfId="1" applyFont="1" applyBorder="1" applyAlignment="1">
      <alignment horizontal="center" vertical="center" wrapText="1"/>
    </xf>
    <xf numFmtId="41" fontId="7" fillId="0" borderId="1" xfId="2" applyFont="1" applyBorder="1" applyAlignment="1">
      <alignment vertical="center" wrapText="1"/>
    </xf>
    <xf numFmtId="43" fontId="7" fillId="0" borderId="1" xfId="1" applyFont="1" applyBorder="1" applyAlignment="1">
      <alignment horizontal="left" vertical="center" wrapText="1"/>
    </xf>
    <xf numFmtId="0" fontId="7" fillId="3" borderId="1" xfId="5" applyFont="1" applyFill="1" applyBorder="1" applyAlignment="1">
      <alignment vertical="center" wrapText="1"/>
    </xf>
    <xf numFmtId="0" fontId="7" fillId="3" borderId="1" xfId="5" applyFont="1" applyFill="1" applyBorder="1" applyAlignment="1">
      <alignment horizontal="center" vertical="center" wrapText="1"/>
    </xf>
    <xf numFmtId="43" fontId="7" fillId="3" borderId="1" xfId="8" applyFont="1" applyFill="1" applyBorder="1" applyAlignment="1">
      <alignment vertical="center" wrapText="1"/>
    </xf>
    <xf numFmtId="0" fontId="7" fillId="0" borderId="1" xfId="5" applyFont="1" applyBorder="1" applyAlignment="1">
      <alignment horizontal="center"/>
    </xf>
    <xf numFmtId="0" fontId="7" fillId="0" borderId="1" xfId="5" applyFont="1" applyBorder="1"/>
    <xf numFmtId="43" fontId="7" fillId="3" borderId="1" xfId="10" applyFont="1" applyFill="1" applyBorder="1" applyAlignment="1">
      <alignment vertical="center" wrapText="1"/>
    </xf>
    <xf numFmtId="43" fontId="7" fillId="3" borderId="1" xfId="10" applyFont="1" applyFill="1" applyBorder="1" applyAlignment="1">
      <alignment horizontal="center" vertical="center" wrapText="1"/>
    </xf>
    <xf numFmtId="43" fontId="7" fillId="3" borderId="1" xfId="10" applyFont="1" applyFill="1" applyBorder="1" applyAlignment="1">
      <alignment horizontal="right" vertical="center"/>
    </xf>
    <xf numFmtId="166" fontId="7" fillId="3" borderId="1" xfId="1" applyNumberFormat="1" applyFont="1" applyFill="1" applyBorder="1" applyAlignment="1">
      <alignment horizontal="right" vertical="center" wrapText="1"/>
    </xf>
    <xf numFmtId="0" fontId="40" fillId="0" borderId="0" xfId="0" applyFont="1"/>
    <xf numFmtId="0" fontId="7" fillId="0" borderId="20" xfId="0" applyFont="1" applyBorder="1" applyAlignment="1">
      <alignment horizontal="left" vertical="center" wrapText="1"/>
    </xf>
    <xf numFmtId="0" fontId="7" fillId="0" borderId="20" xfId="0" applyFont="1" applyBorder="1" applyAlignment="1">
      <alignment horizontal="center" vertical="center"/>
    </xf>
    <xf numFmtId="166" fontId="14" fillId="0" borderId="20" xfId="1" applyNumberFormat="1" applyFont="1" applyFill="1" applyBorder="1" applyAlignment="1">
      <alignment horizontal="center" vertical="center"/>
    </xf>
    <xf numFmtId="43" fontId="7" fillId="0" borderId="20" xfId="1" applyFont="1" applyFill="1" applyBorder="1" applyAlignment="1">
      <alignment horizontal="center" vertical="center"/>
    </xf>
    <xf numFmtId="166" fontId="7" fillId="0" borderId="16" xfId="1" applyNumberFormat="1" applyFont="1" applyFill="1" applyBorder="1" applyAlignment="1">
      <alignment vertical="center"/>
    </xf>
    <xf numFmtId="0" fontId="8" fillId="0" borderId="20" xfId="0" applyFont="1" applyBorder="1" applyAlignment="1">
      <alignment horizontal="left" vertical="center" wrapText="1"/>
    </xf>
    <xf numFmtId="0" fontId="8" fillId="0" borderId="20" xfId="0" applyFont="1" applyBorder="1" applyAlignment="1">
      <alignment horizontal="center" vertical="center"/>
    </xf>
    <xf numFmtId="166" fontId="15" fillId="0" borderId="20" xfId="1" applyNumberFormat="1" applyFont="1" applyFill="1" applyBorder="1" applyAlignment="1">
      <alignment horizontal="center" vertical="center"/>
    </xf>
    <xf numFmtId="43" fontId="8" fillId="0" borderId="20" xfId="1" applyFont="1" applyFill="1" applyBorder="1" applyAlignment="1">
      <alignment horizontal="center" vertical="center"/>
    </xf>
    <xf numFmtId="166" fontId="8" fillId="0" borderId="16" xfId="1" applyNumberFormat="1" applyFont="1" applyFill="1" applyBorder="1" applyAlignment="1">
      <alignment vertical="center"/>
    </xf>
    <xf numFmtId="0" fontId="36" fillId="0" borderId="0" xfId="0" applyFont="1" applyAlignment="1">
      <alignment vertical="center"/>
    </xf>
    <xf numFmtId="166" fontId="7" fillId="0" borderId="7" xfId="1" applyNumberFormat="1" applyFont="1" applyFill="1" applyBorder="1" applyAlignment="1">
      <alignment horizontal="center" vertical="center"/>
    </xf>
    <xf numFmtId="166" fontId="7" fillId="0" borderId="7" xfId="1" applyNumberFormat="1" applyFont="1" applyFill="1" applyBorder="1" applyAlignment="1">
      <alignment vertical="center"/>
    </xf>
    <xf numFmtId="166" fontId="7" fillId="0" borderId="12" xfId="1" applyNumberFormat="1" applyFont="1" applyFill="1" applyBorder="1" applyAlignment="1">
      <alignment vertical="top"/>
    </xf>
    <xf numFmtId="166" fontId="7" fillId="0" borderId="1" xfId="1" applyNumberFormat="1" applyFont="1" applyBorder="1" applyAlignment="1">
      <alignment wrapText="1"/>
    </xf>
    <xf numFmtId="166" fontId="7" fillId="3" borderId="1" xfId="5" applyNumberFormat="1" applyFont="1" applyFill="1" applyBorder="1" applyAlignment="1">
      <alignment horizontal="center" wrapText="1"/>
    </xf>
    <xf numFmtId="166" fontId="7" fillId="3" borderId="1" xfId="10" applyNumberFormat="1" applyFont="1" applyFill="1" applyBorder="1" applyAlignment="1">
      <alignment horizontal="center"/>
    </xf>
    <xf numFmtId="0" fontId="34" fillId="0" borderId="5" xfId="0" applyFont="1" applyBorder="1" applyAlignment="1">
      <alignment horizontal="center"/>
    </xf>
    <xf numFmtId="0" fontId="0" fillId="0" borderId="1" xfId="0" applyBorder="1"/>
    <xf numFmtId="0" fontId="0" fillId="3" borderId="1" xfId="0" applyFill="1" applyBorder="1"/>
    <xf numFmtId="0" fontId="32" fillId="0" borderId="0" xfId="0" applyFont="1" applyAlignment="1">
      <alignment horizontal="left"/>
    </xf>
    <xf numFmtId="0" fontId="32" fillId="0" borderId="0" xfId="0" applyFont="1" applyAlignment="1">
      <alignment horizontal="center"/>
    </xf>
    <xf numFmtId="166" fontId="32" fillId="0" borderId="0" xfId="0" applyNumberFormat="1" applyFont="1" applyAlignment="1">
      <alignment horizontal="right"/>
    </xf>
    <xf numFmtId="43" fontId="8" fillId="0" borderId="1" xfId="11" applyFont="1" applyFill="1" applyBorder="1" applyAlignment="1">
      <alignment vertical="center" wrapText="1"/>
    </xf>
    <xf numFmtId="43" fontId="7" fillId="0" borderId="1" xfId="11" applyFont="1" applyFill="1" applyBorder="1" applyAlignment="1">
      <alignment vertical="center" wrapText="1"/>
    </xf>
    <xf numFmtId="43" fontId="8" fillId="0" borderId="1" xfId="11" applyFont="1" applyFill="1" applyBorder="1" applyAlignment="1">
      <alignment horizontal="center" vertical="center" wrapText="1"/>
    </xf>
    <xf numFmtId="43" fontId="7" fillId="0" borderId="1" xfId="11" applyFont="1" applyFill="1" applyBorder="1" applyAlignment="1">
      <alignment horizontal="center" vertical="center" wrapText="1"/>
    </xf>
    <xf numFmtId="43" fontId="5" fillId="2" borderId="1" xfId="11" applyFont="1" applyFill="1" applyBorder="1" applyAlignment="1">
      <alignment vertical="center" wrapText="1"/>
    </xf>
    <xf numFmtId="0" fontId="5" fillId="0" borderId="0" xfId="0" applyFont="1"/>
    <xf numFmtId="43" fontId="31" fillId="0" borderId="8" xfId="0" applyNumberFormat="1" applyFont="1" applyBorder="1" applyAlignment="1">
      <alignment horizontal="center" vertical="center" wrapText="1"/>
    </xf>
    <xf numFmtId="43" fontId="17" fillId="0" borderId="11" xfId="0" applyNumberFormat="1" applyFont="1" applyBorder="1" applyAlignment="1">
      <alignment horizontal="center" vertical="center"/>
    </xf>
    <xf numFmtId="43" fontId="17" fillId="0" borderId="11" xfId="1" applyFont="1" applyFill="1" applyBorder="1" applyAlignment="1">
      <alignment horizontal="center" vertical="center" wrapText="1"/>
    </xf>
    <xf numFmtId="43" fontId="5" fillId="2" borderId="11" xfId="0" applyNumberFormat="1" applyFont="1" applyFill="1" applyBorder="1" applyAlignment="1">
      <alignment horizontal="center" vertical="center"/>
    </xf>
    <xf numFmtId="43" fontId="17" fillId="0" borderId="11" xfId="1" applyFont="1" applyFill="1" applyBorder="1" applyAlignment="1">
      <alignment horizontal="center" vertical="center"/>
    </xf>
    <xf numFmtId="43" fontId="5" fillId="2" borderId="1" xfId="11" applyFont="1" applyFill="1" applyBorder="1" applyAlignment="1">
      <alignment horizontal="center" vertical="center"/>
    </xf>
    <xf numFmtId="43" fontId="17" fillId="2" borderId="1" xfId="11" applyFont="1" applyFill="1" applyBorder="1" applyAlignment="1">
      <alignment horizontal="right" vertical="center"/>
    </xf>
    <xf numFmtId="43" fontId="7" fillId="0" borderId="1" xfId="11" applyFont="1" applyFill="1" applyBorder="1" applyAlignment="1">
      <alignment horizontal="right" vertical="center"/>
    </xf>
    <xf numFmtId="43" fontId="8" fillId="0" borderId="1" xfId="11" applyFont="1" applyFill="1" applyBorder="1" applyAlignment="1">
      <alignment horizontal="right" vertical="center"/>
    </xf>
    <xf numFmtId="0" fontId="32" fillId="0" borderId="0" xfId="0" applyFont="1" applyAlignment="1">
      <alignment horizontal="right"/>
    </xf>
    <xf numFmtId="43" fontId="5" fillId="2" borderId="1" xfId="11" applyFont="1" applyFill="1" applyBorder="1" applyAlignment="1">
      <alignment horizontal="right" vertical="center"/>
    </xf>
    <xf numFmtId="166" fontId="5" fillId="2" borderId="1" xfId="11" applyNumberFormat="1" applyFont="1" applyFill="1" applyBorder="1" applyAlignment="1">
      <alignment horizontal="right" vertical="center"/>
    </xf>
    <xf numFmtId="166" fontId="7" fillId="0" borderId="1" xfId="11" applyNumberFormat="1" applyFont="1" applyFill="1" applyBorder="1" applyAlignment="1">
      <alignment horizontal="right" vertical="center"/>
    </xf>
    <xf numFmtId="166" fontId="8" fillId="0" borderId="1" xfId="11" applyNumberFormat="1" applyFont="1" applyFill="1" applyBorder="1" applyAlignment="1">
      <alignment horizontal="right" vertical="center"/>
    </xf>
    <xf numFmtId="166" fontId="7" fillId="0" borderId="1" xfId="7" applyNumberFormat="1" applyFont="1" applyBorder="1" applyAlignment="1">
      <alignment horizontal="right" vertical="center" wrapText="1"/>
    </xf>
    <xf numFmtId="43" fontId="30" fillId="0" borderId="11" xfId="0" applyNumberFormat="1" applyFont="1" applyBorder="1" applyAlignment="1">
      <alignment horizontal="center" vertical="center"/>
    </xf>
    <xf numFmtId="166" fontId="30" fillId="0" borderId="12" xfId="0" applyNumberFormat="1" applyFont="1" applyBorder="1" applyAlignment="1">
      <alignment horizontal="right"/>
    </xf>
    <xf numFmtId="43" fontId="5" fillId="2" borderId="11" xfId="11" applyFont="1" applyFill="1" applyBorder="1" applyAlignment="1">
      <alignment horizontal="center" vertical="center" wrapText="1"/>
    </xf>
    <xf numFmtId="166" fontId="5" fillId="2" borderId="12" xfId="11" applyNumberFormat="1" applyFont="1" applyFill="1" applyBorder="1" applyAlignment="1">
      <alignment horizontal="right" vertical="center" wrapText="1"/>
    </xf>
    <xf numFmtId="43" fontId="17" fillId="0" borderId="11" xfId="11" applyFont="1" applyFill="1" applyBorder="1" applyAlignment="1">
      <alignment horizontal="center" vertical="center" wrapText="1"/>
    </xf>
    <xf numFmtId="166" fontId="8" fillId="0" borderId="12" xfId="11" applyNumberFormat="1" applyFont="1" applyFill="1" applyBorder="1" applyAlignment="1">
      <alignment horizontal="right" vertical="center" wrapText="1"/>
    </xf>
    <xf numFmtId="166" fontId="7" fillId="0" borderId="12" xfId="11" applyNumberFormat="1" applyFont="1" applyFill="1" applyBorder="1" applyAlignment="1">
      <alignment horizontal="right" vertical="center" wrapText="1"/>
    </xf>
    <xf numFmtId="43" fontId="21" fillId="0" borderId="11" xfId="11" applyFont="1" applyFill="1" applyBorder="1" applyAlignment="1">
      <alignment horizontal="center" vertical="center" wrapText="1"/>
    </xf>
    <xf numFmtId="43" fontId="7" fillId="0" borderId="4" xfId="1" applyFont="1" applyFill="1" applyBorder="1" applyAlignment="1">
      <alignment vertical="center"/>
    </xf>
    <xf numFmtId="43" fontId="19" fillId="0" borderId="11" xfId="0" applyNumberFormat="1" applyFont="1" applyBorder="1" applyAlignment="1">
      <alignment horizontal="center" vertical="center"/>
    </xf>
    <xf numFmtId="43" fontId="5" fillId="2" borderId="11" xfId="5" applyNumberFormat="1" applyFont="1" applyFill="1" applyBorder="1" applyAlignment="1">
      <alignment horizontal="center" vertical="center" wrapText="1"/>
    </xf>
    <xf numFmtId="43" fontId="17" fillId="3" borderId="11" xfId="5" applyNumberFormat="1" applyFont="1" applyFill="1" applyBorder="1" applyAlignment="1">
      <alignment horizontal="center" vertical="center" wrapText="1"/>
    </xf>
    <xf numFmtId="166" fontId="7" fillId="3" borderId="12" xfId="5" applyNumberFormat="1" applyFont="1" applyFill="1" applyBorder="1" applyAlignment="1">
      <alignment horizontal="right" vertical="top" wrapText="1"/>
    </xf>
    <xf numFmtId="166" fontId="7" fillId="3" borderId="12" xfId="1" applyNumberFormat="1" applyFont="1" applyFill="1" applyBorder="1" applyAlignment="1">
      <alignment horizontal="right" vertical="top" wrapText="1"/>
    </xf>
    <xf numFmtId="166" fontId="8" fillId="3" borderId="12" xfId="1" applyNumberFormat="1" applyFont="1" applyFill="1" applyBorder="1" applyAlignment="1">
      <alignment horizontal="right" vertical="top" wrapText="1"/>
    </xf>
    <xf numFmtId="43" fontId="21" fillId="0" borderId="11" xfId="1" applyFont="1" applyFill="1" applyBorder="1" applyAlignment="1">
      <alignment horizontal="center" vertical="center" wrapText="1"/>
    </xf>
    <xf numFmtId="43" fontId="18" fillId="0" borderId="11" xfId="0" applyNumberFormat="1" applyFont="1" applyBorder="1" applyAlignment="1">
      <alignment horizontal="center" vertical="center"/>
    </xf>
    <xf numFmtId="43" fontId="33" fillId="0" borderId="11" xfId="0" applyNumberFormat="1" applyFont="1" applyBorder="1" applyAlignment="1">
      <alignment horizontal="center" vertical="center"/>
    </xf>
    <xf numFmtId="0" fontId="0" fillId="0" borderId="1" xfId="0" applyBorder="1" applyAlignment="1">
      <alignment horizontal="left" vertical="center"/>
    </xf>
    <xf numFmtId="43" fontId="39" fillId="3" borderId="11" xfId="4" applyNumberFormat="1" applyFont="1" applyFill="1" applyBorder="1" applyAlignment="1">
      <alignment horizontal="center" vertical="center"/>
    </xf>
    <xf numFmtId="43" fontId="5" fillId="2" borderId="11" xfId="7" applyFont="1" applyFill="1" applyBorder="1" applyAlignment="1">
      <alignment horizontal="center" vertical="center" wrapText="1"/>
    </xf>
    <xf numFmtId="166" fontId="5" fillId="2" borderId="12" xfId="7" applyNumberFormat="1" applyFont="1" applyFill="1" applyBorder="1" applyAlignment="1">
      <alignment horizontal="right" vertical="center" wrapText="1"/>
    </xf>
    <xf numFmtId="43" fontId="19" fillId="3" borderId="11" xfId="7" applyFont="1" applyFill="1" applyBorder="1" applyAlignment="1">
      <alignment horizontal="center" vertical="center" wrapText="1"/>
    </xf>
    <xf numFmtId="166" fontId="13" fillId="3" borderId="12" xfId="7" applyNumberFormat="1" applyFont="1" applyFill="1" applyBorder="1" applyAlignment="1">
      <alignment horizontal="right" vertical="center"/>
    </xf>
    <xf numFmtId="43" fontId="19" fillId="0" borderId="11" xfId="1" applyFont="1" applyFill="1" applyBorder="1" applyAlignment="1">
      <alignment horizontal="center" vertical="center" wrapText="1"/>
    </xf>
    <xf numFmtId="43" fontId="5" fillId="0" borderId="11" xfId="1" applyFont="1" applyFill="1" applyBorder="1" applyAlignment="1">
      <alignment horizontal="center" vertical="center" wrapText="1"/>
    </xf>
    <xf numFmtId="166" fontId="23" fillId="0" borderId="12" xfId="1" applyNumberFormat="1" applyFont="1" applyFill="1" applyBorder="1" applyAlignment="1">
      <alignment horizontal="right" vertical="center" wrapText="1"/>
    </xf>
    <xf numFmtId="43" fontId="17" fillId="3" borderId="11" xfId="7" applyFont="1" applyFill="1" applyBorder="1" applyAlignment="1">
      <alignment horizontal="center" vertical="center" wrapText="1"/>
    </xf>
    <xf numFmtId="166" fontId="8" fillId="3" borderId="12" xfId="7" applyNumberFormat="1" applyFont="1" applyFill="1" applyBorder="1" applyAlignment="1">
      <alignment horizontal="right" vertical="center" wrapText="1"/>
    </xf>
    <xf numFmtId="43" fontId="37" fillId="3" borderId="11" xfId="4" applyNumberFormat="1" applyFont="1" applyFill="1" applyBorder="1" applyAlignment="1">
      <alignment horizontal="center" vertical="center"/>
    </xf>
    <xf numFmtId="43" fontId="0" fillId="0" borderId="11" xfId="0" applyNumberFormat="1"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right"/>
    </xf>
    <xf numFmtId="166" fontId="0" fillId="0" borderId="1" xfId="0" applyNumberFormat="1" applyBorder="1" applyAlignment="1">
      <alignment horizontal="right"/>
    </xf>
    <xf numFmtId="166" fontId="0" fillId="0" borderId="12" xfId="0" applyNumberFormat="1" applyBorder="1" applyAlignment="1">
      <alignment horizontal="right"/>
    </xf>
    <xf numFmtId="166" fontId="16" fillId="0" borderId="1" xfId="7" applyNumberFormat="1" applyFont="1" applyBorder="1" applyAlignment="1">
      <alignment horizontal="right" vertical="center" wrapText="1"/>
    </xf>
    <xf numFmtId="43" fontId="0" fillId="0" borderId="13" xfId="0" applyNumberFormat="1" applyBorder="1" applyAlignment="1">
      <alignment horizontal="center" vertical="center"/>
    </xf>
    <xf numFmtId="43" fontId="8" fillId="0" borderId="14" xfId="11" applyFont="1" applyFill="1" applyBorder="1" applyAlignment="1">
      <alignment vertical="center" wrapText="1"/>
    </xf>
    <xf numFmtId="43" fontId="8" fillId="0" borderId="14" xfId="11" applyFont="1" applyFill="1" applyBorder="1" applyAlignment="1">
      <alignment horizontal="center" vertical="center" wrapText="1"/>
    </xf>
    <xf numFmtId="43" fontId="8" fillId="0" borderId="14" xfId="11" applyFont="1" applyFill="1" applyBorder="1" applyAlignment="1">
      <alignment horizontal="right" vertical="center"/>
    </xf>
    <xf numFmtId="166" fontId="8" fillId="0" borderId="14" xfId="11" applyNumberFormat="1" applyFont="1" applyFill="1" applyBorder="1" applyAlignment="1">
      <alignment horizontal="right" vertical="center"/>
    </xf>
    <xf numFmtId="166" fontId="8" fillId="0" borderId="15" xfId="11" applyNumberFormat="1" applyFont="1" applyFill="1" applyBorder="1" applyAlignment="1">
      <alignment horizontal="right" vertical="center" wrapText="1"/>
    </xf>
    <xf numFmtId="166" fontId="30" fillId="0" borderId="12" xfId="0" applyNumberFormat="1" applyFont="1" applyBorder="1" applyAlignment="1">
      <alignment vertical="center"/>
    </xf>
    <xf numFmtId="166" fontId="30" fillId="3" borderId="12" xfId="0" applyNumberFormat="1" applyFont="1" applyFill="1" applyBorder="1" applyAlignment="1">
      <alignment vertical="center" wrapText="1"/>
    </xf>
    <xf numFmtId="0" fontId="35" fillId="0" borderId="0" xfId="0" applyFont="1"/>
    <xf numFmtId="0" fontId="16" fillId="0" borderId="0" xfId="0" applyFont="1"/>
    <xf numFmtId="0" fontId="0" fillId="3" borderId="4" xfId="0" applyFill="1" applyBorder="1"/>
    <xf numFmtId="0" fontId="16" fillId="0" borderId="1" xfId="0" applyFont="1" applyBorder="1"/>
    <xf numFmtId="166" fontId="16" fillId="0" borderId="1" xfId="0" applyNumberFormat="1" applyFont="1" applyBorder="1"/>
    <xf numFmtId="0" fontId="43" fillId="2" borderId="6" xfId="0" applyFont="1" applyFill="1" applyBorder="1"/>
    <xf numFmtId="0" fontId="44" fillId="0" borderId="6" xfId="0" applyFont="1" applyBorder="1"/>
    <xf numFmtId="166" fontId="44" fillId="0" borderId="6" xfId="1" applyNumberFormat="1" applyFont="1" applyBorder="1"/>
    <xf numFmtId="0" fontId="43" fillId="0" borderId="6" xfId="0" applyFont="1" applyBorder="1"/>
    <xf numFmtId="166" fontId="43" fillId="0" borderId="6" xfId="1" applyNumberFormat="1" applyFont="1" applyBorder="1"/>
    <xf numFmtId="0" fontId="45" fillId="2" borderId="6" xfId="0" applyFont="1" applyFill="1" applyBorder="1"/>
    <xf numFmtId="166" fontId="46" fillId="0" borderId="6" xfId="0" applyNumberFormat="1" applyFont="1" applyBorder="1"/>
    <xf numFmtId="166" fontId="45" fillId="0" borderId="6" xfId="0" applyNumberFormat="1" applyFont="1" applyBorder="1"/>
    <xf numFmtId="0" fontId="21" fillId="0" borderId="1" xfId="0" applyFont="1" applyBorder="1" applyAlignment="1">
      <alignment horizontal="left" vertical="center" wrapText="1"/>
    </xf>
    <xf numFmtId="0" fontId="21" fillId="0" borderId="12" xfId="0" applyFont="1" applyBorder="1" applyAlignment="1">
      <alignment horizontal="left" vertical="center" wrapText="1"/>
    </xf>
    <xf numFmtId="0" fontId="41" fillId="0" borderId="18" xfId="0" applyFont="1" applyBorder="1" applyAlignment="1">
      <alignment horizontal="left" vertical="center"/>
    </xf>
    <xf numFmtId="0" fontId="30" fillId="0" borderId="1" xfId="0" applyFont="1" applyBorder="1" applyAlignment="1">
      <alignment horizontal="left"/>
    </xf>
    <xf numFmtId="0" fontId="30" fillId="0" borderId="12" xfId="0" applyFont="1" applyBorder="1" applyAlignment="1">
      <alignment horizontal="left"/>
    </xf>
    <xf numFmtId="0" fontId="21" fillId="3" borderId="1" xfId="0" applyFont="1" applyFill="1" applyBorder="1" applyAlignment="1">
      <alignment horizontal="left" vertical="center" wrapText="1"/>
    </xf>
    <xf numFmtId="0" fontId="21" fillId="3" borderId="12" xfId="0" applyFont="1" applyFill="1" applyBorder="1" applyAlignment="1">
      <alignment horizontal="left" vertical="center" wrapText="1"/>
    </xf>
    <xf numFmtId="166" fontId="21" fillId="3" borderId="1" xfId="1" applyNumberFormat="1" applyFont="1" applyFill="1" applyBorder="1" applyAlignment="1">
      <alignment horizontal="left" vertical="center" wrapText="1"/>
    </xf>
    <xf numFmtId="166" fontId="21" fillId="3" borderId="12" xfId="1" applyNumberFormat="1" applyFont="1" applyFill="1" applyBorder="1" applyAlignment="1">
      <alignment horizontal="left" vertical="center" wrapText="1"/>
    </xf>
    <xf numFmtId="43" fontId="21" fillId="0" borderId="1" xfId="1" applyFont="1" applyFill="1" applyBorder="1" applyAlignment="1">
      <alignment horizontal="left" vertical="center" wrapText="1"/>
    </xf>
    <xf numFmtId="43" fontId="21" fillId="0" borderId="12" xfId="1" applyFont="1" applyFill="1" applyBorder="1" applyAlignment="1">
      <alignment horizontal="left" vertical="center" wrapText="1"/>
    </xf>
    <xf numFmtId="166" fontId="21" fillId="0" borderId="1" xfId="1" applyNumberFormat="1" applyFont="1" applyFill="1" applyBorder="1" applyAlignment="1">
      <alignment horizontal="left" vertical="center" wrapText="1"/>
    </xf>
    <xf numFmtId="166" fontId="21" fillId="0" borderId="12" xfId="1" applyNumberFormat="1" applyFont="1" applyFill="1" applyBorder="1" applyAlignment="1">
      <alignment horizontal="left" vertical="center" wrapText="1"/>
    </xf>
    <xf numFmtId="43" fontId="21" fillId="3" borderId="1" xfId="1" applyFont="1" applyFill="1" applyBorder="1" applyAlignment="1">
      <alignment horizontal="left" vertical="center" wrapText="1"/>
    </xf>
    <xf numFmtId="43" fontId="21" fillId="3" borderId="12" xfId="1" applyFont="1" applyFill="1" applyBorder="1" applyAlignment="1">
      <alignment horizontal="left" vertical="center" wrapText="1"/>
    </xf>
    <xf numFmtId="0" fontId="41" fillId="3" borderId="18" xfId="0" applyFont="1" applyFill="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0" borderId="2" xfId="0" applyFont="1" applyBorder="1" applyAlignment="1">
      <alignment horizontal="left"/>
    </xf>
    <xf numFmtId="0" fontId="30" fillId="0" borderId="3" xfId="0" applyFont="1" applyBorder="1" applyAlignment="1">
      <alignment horizontal="left"/>
    </xf>
    <xf numFmtId="0" fontId="30" fillId="0" borderId="4" xfId="0" applyFont="1" applyBorder="1" applyAlignment="1">
      <alignment horizontal="left"/>
    </xf>
    <xf numFmtId="0" fontId="34" fillId="0" borderId="1" xfId="0" applyFont="1" applyBorder="1" applyAlignment="1">
      <alignment horizontal="center" vertical="center"/>
    </xf>
    <xf numFmtId="0" fontId="34" fillId="0" borderId="12" xfId="0" applyFont="1" applyBorder="1" applyAlignment="1">
      <alignment horizontal="center" vertical="center"/>
    </xf>
    <xf numFmtId="166" fontId="31" fillId="0" borderId="1" xfId="1" applyNumberFormat="1" applyFont="1" applyFill="1" applyBorder="1" applyAlignment="1">
      <alignment horizontal="center" vertical="center"/>
    </xf>
    <xf numFmtId="166" fontId="31" fillId="0" borderId="12" xfId="1" applyNumberFormat="1" applyFont="1" applyFill="1" applyBorder="1" applyAlignment="1">
      <alignment horizontal="center" vertical="center"/>
    </xf>
    <xf numFmtId="0" fontId="40" fillId="0" borderId="5" xfId="0" applyFont="1" applyBorder="1" applyAlignment="1">
      <alignment horizontal="center"/>
    </xf>
  </cellXfs>
  <cellStyles count="12">
    <cellStyle name="Comma" xfId="1" builtinId="3"/>
    <cellStyle name="Comma [0]" xfId="2" builtinId="6"/>
    <cellStyle name="Comma 14" xfId="11" xr:uid="{00000000-0005-0000-0000-000002000000}"/>
    <cellStyle name="Comma 14 2" xfId="10" xr:uid="{00000000-0005-0000-0000-000003000000}"/>
    <cellStyle name="Comma 17" xfId="7" xr:uid="{00000000-0005-0000-0000-000004000000}"/>
    <cellStyle name="Comma 17 3" xfId="9" xr:uid="{00000000-0005-0000-0000-000005000000}"/>
    <cellStyle name="Comma 5" xfId="8" xr:uid="{00000000-0005-0000-0000-000006000000}"/>
    <cellStyle name="Currency" xfId="3" builtinId="4"/>
    <cellStyle name="Normal" xfId="0" builtinId="0"/>
    <cellStyle name="Normal 12 2" xfId="6" xr:uid="{00000000-0005-0000-0000-000009000000}"/>
    <cellStyle name="Normal 2 12 3" xfId="5" xr:uid="{00000000-0005-0000-0000-00000A000000}"/>
    <cellStyle name="Normal 2 2 3"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ER/Desktop/PROJECTS/HORIZON%20CONSTRUCTION/New%20Bugesera%20International%20(NBIA),%20Rwanda%20Construction%20of%20Works/Finishes%20breakwor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mm thick plaster"/>
      <sheetName val="Emulsion Paint"/>
      <sheetName val="40mm Screed (2)"/>
      <sheetName val="Carpet ( to the conference)"/>
      <sheetName val="Gypsum Ceiling"/>
      <sheetName val="18mm MDF Cladding "/>
      <sheetName val="12mmGypsum Partitioning(Double)"/>
    </sheetNames>
    <sheetDataSet>
      <sheetData sheetId="0" refreshError="1"/>
      <sheetData sheetId="1" refreshError="1">
        <row r="11">
          <cell r="G11">
            <v>20</v>
          </cell>
        </row>
        <row r="19">
          <cell r="B19" t="str">
            <v>Induit/undercoat ( 2 coats)</v>
          </cell>
        </row>
        <row r="20">
          <cell r="B20" t="str">
            <v>Whiting/stucco ( 2 coats)</v>
          </cell>
        </row>
        <row r="21">
          <cell r="B21" t="str">
            <v>Colle</v>
          </cell>
        </row>
        <row r="22">
          <cell r="B22" t="str">
            <v>Emulsion paint ( 3 coats)</v>
          </cell>
        </row>
        <row r="23">
          <cell r="B23" t="str">
            <v>Brush</v>
          </cell>
        </row>
        <row r="24">
          <cell r="B24" t="str">
            <v>Roller</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workbookViewId="0">
      <selection activeCell="D2" sqref="D2"/>
    </sheetView>
  </sheetViews>
  <sheetFormatPr defaultColWidth="8.90625" defaultRowHeight="14.5"/>
  <cols>
    <col min="2" max="2" width="34.36328125" customWidth="1"/>
    <col min="3" max="4" width="27.54296875" customWidth="1"/>
  </cols>
  <sheetData>
    <row r="1" spans="1:4" s="63" customFormat="1" ht="27.5">
      <c r="A1" s="467"/>
      <c r="B1" s="467" t="s">
        <v>218</v>
      </c>
      <c r="C1" s="467" t="s">
        <v>231</v>
      </c>
      <c r="D1" s="472" t="s">
        <v>232</v>
      </c>
    </row>
    <row r="2" spans="1:4" ht="27.5">
      <c r="A2" s="468">
        <v>1</v>
      </c>
      <c r="B2" s="468" t="s">
        <v>220</v>
      </c>
      <c r="C2" s="469">
        <v>11716124.941038033</v>
      </c>
      <c r="D2" s="473">
        <f>C2*0.00076</f>
        <v>8904.254955188906</v>
      </c>
    </row>
    <row r="3" spans="1:4" ht="27.5">
      <c r="A3" s="468">
        <v>2</v>
      </c>
      <c r="B3" s="468" t="s">
        <v>221</v>
      </c>
      <c r="C3" s="469">
        <v>4415307.5730799288</v>
      </c>
      <c r="D3" s="473">
        <f t="shared" ref="D3:D12" si="0">C3*0.00076</f>
        <v>3355.6337555407458</v>
      </c>
    </row>
    <row r="4" spans="1:4" ht="27.5">
      <c r="A4" s="468">
        <v>3</v>
      </c>
      <c r="B4" s="468" t="s">
        <v>222</v>
      </c>
      <c r="C4" s="469">
        <v>9014016.946953889</v>
      </c>
      <c r="D4" s="473">
        <f t="shared" si="0"/>
        <v>6850.6528796849561</v>
      </c>
    </row>
    <row r="5" spans="1:4" ht="27.5">
      <c r="A5" s="468">
        <v>4</v>
      </c>
      <c r="B5" s="468" t="s">
        <v>223</v>
      </c>
      <c r="C5" s="469">
        <v>7210784.3504864471</v>
      </c>
      <c r="D5" s="473">
        <f t="shared" si="0"/>
        <v>5480.1961063696999</v>
      </c>
    </row>
    <row r="6" spans="1:4" ht="27.5">
      <c r="A6" s="468">
        <v>5</v>
      </c>
      <c r="B6" s="468" t="s">
        <v>224</v>
      </c>
      <c r="C6" s="469">
        <v>5625578.0131707303</v>
      </c>
      <c r="D6" s="473">
        <f t="shared" si="0"/>
        <v>4275.4392900097555</v>
      </c>
    </row>
    <row r="7" spans="1:4" ht="27.5">
      <c r="A7" s="468">
        <v>6</v>
      </c>
      <c r="B7" s="468" t="s">
        <v>225</v>
      </c>
      <c r="C7" s="469">
        <v>4818499.4867303222</v>
      </c>
      <c r="D7" s="473">
        <f t="shared" si="0"/>
        <v>3662.0596099150453</v>
      </c>
    </row>
    <row r="8" spans="1:4" ht="27.5">
      <c r="A8" s="468">
        <v>7</v>
      </c>
      <c r="B8" s="468" t="s">
        <v>226</v>
      </c>
      <c r="C8" s="469">
        <v>15650822.129858756</v>
      </c>
      <c r="D8" s="473">
        <f t="shared" si="0"/>
        <v>11894.624818692655</v>
      </c>
    </row>
    <row r="9" spans="1:4" ht="27.5">
      <c r="A9" s="468">
        <v>8</v>
      </c>
      <c r="B9" s="468" t="s">
        <v>227</v>
      </c>
      <c r="C9" s="469">
        <v>4821309.2387005603</v>
      </c>
      <c r="D9" s="473">
        <f t="shared" si="0"/>
        <v>3664.1950214124258</v>
      </c>
    </row>
    <row r="10" spans="1:4" ht="27.5">
      <c r="A10" s="468">
        <v>9</v>
      </c>
      <c r="B10" s="468" t="s">
        <v>229</v>
      </c>
      <c r="C10" s="469">
        <v>5200000</v>
      </c>
      <c r="D10" s="473">
        <f t="shared" si="0"/>
        <v>3952</v>
      </c>
    </row>
    <row r="11" spans="1:4" ht="27.5">
      <c r="A11" s="468">
        <v>10</v>
      </c>
      <c r="B11" s="468" t="s">
        <v>230</v>
      </c>
      <c r="C11" s="469">
        <v>3500000</v>
      </c>
      <c r="D11" s="473">
        <f t="shared" si="0"/>
        <v>2660</v>
      </c>
    </row>
    <row r="12" spans="1:4" ht="27.5">
      <c r="A12" s="468">
        <v>11</v>
      </c>
      <c r="B12" s="468" t="s">
        <v>233</v>
      </c>
      <c r="C12" s="469">
        <v>10795866</v>
      </c>
      <c r="D12" s="473">
        <f t="shared" si="0"/>
        <v>8204.8581599999998</v>
      </c>
    </row>
    <row r="13" spans="1:4" s="462" customFormat="1" ht="30">
      <c r="A13" s="470"/>
      <c r="B13" s="470" t="s">
        <v>219</v>
      </c>
      <c r="C13" s="471">
        <f>C2+C3+C4+C5+C6+C7+C8+C9+C10+C11+C12</f>
        <v>82768308.680018663</v>
      </c>
      <c r="D13" s="474">
        <f>SUM(D2:D12)</f>
        <v>62903.914596814182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6"/>
  <sheetViews>
    <sheetView topLeftCell="A52" zoomScale="103" workbookViewId="0">
      <selection activeCell="F335" sqref="F335"/>
    </sheetView>
  </sheetViews>
  <sheetFormatPr defaultColWidth="8.90625" defaultRowHeight="15.5"/>
  <cols>
    <col min="1" max="1" width="8.90625" style="232"/>
    <col min="2" max="2" width="76" style="107" customWidth="1"/>
    <col min="3" max="3" width="12.90625" style="110" customWidth="1"/>
    <col min="4" max="4" width="16.90625" style="145" customWidth="1"/>
    <col min="5" max="5" width="18.90625" style="285" customWidth="1"/>
    <col min="6" max="6" width="33.453125" style="285" customWidth="1"/>
  </cols>
  <sheetData>
    <row r="1" spans="1:6" s="255" customFormat="1" ht="36.65" customHeight="1">
      <c r="A1" s="228"/>
      <c r="B1" s="150" t="s">
        <v>120</v>
      </c>
      <c r="C1" s="150" t="s">
        <v>121</v>
      </c>
      <c r="D1" s="150" t="s">
        <v>122</v>
      </c>
      <c r="E1" s="278" t="s">
        <v>123</v>
      </c>
      <c r="F1" s="289" t="s">
        <v>124</v>
      </c>
    </row>
    <row r="2" spans="1:6" ht="21.65" customHeight="1">
      <c r="A2" s="151">
        <v>1</v>
      </c>
      <c r="B2" s="478" t="s">
        <v>93</v>
      </c>
      <c r="C2" s="478"/>
      <c r="D2" s="478"/>
      <c r="E2" s="478"/>
      <c r="F2" s="479"/>
    </row>
    <row r="3" spans="1:6" ht="19.399999999999999" customHeight="1">
      <c r="A3" s="199">
        <v>1.01</v>
      </c>
      <c r="B3" s="16" t="s">
        <v>94</v>
      </c>
      <c r="C3" s="35" t="s">
        <v>28</v>
      </c>
      <c r="D3" s="125">
        <f>44*0.8*0.4</f>
        <v>14.080000000000002</v>
      </c>
      <c r="E3" s="138">
        <f>SUM(F3)/D3</f>
        <v>4444.4444444444443</v>
      </c>
      <c r="F3" s="153">
        <f>F6</f>
        <v>62577.777777777781</v>
      </c>
    </row>
    <row r="4" spans="1:6" ht="19.399999999999999" customHeight="1">
      <c r="A4" s="200"/>
      <c r="B4" s="8" t="s">
        <v>6</v>
      </c>
      <c r="C4" s="9"/>
      <c r="D4" s="114"/>
      <c r="E4" s="133"/>
      <c r="F4" s="155"/>
    </row>
    <row r="5" spans="1:6" ht="19.399999999999999" customHeight="1">
      <c r="A5" s="200"/>
      <c r="B5" s="13" t="s">
        <v>7</v>
      </c>
      <c r="C5" s="9" t="s">
        <v>8</v>
      </c>
      <c r="D5" s="118">
        <f>D3/0.9</f>
        <v>15.644444444444446</v>
      </c>
      <c r="E5" s="133">
        <v>4000</v>
      </c>
      <c r="F5" s="155">
        <f>+D5*E5</f>
        <v>62577.777777777781</v>
      </c>
    </row>
    <row r="6" spans="1:6" ht="19.399999999999999" customHeight="1">
      <c r="A6" s="174"/>
      <c r="B6" s="60" t="s">
        <v>9</v>
      </c>
      <c r="C6" s="61"/>
      <c r="D6" s="120"/>
      <c r="E6" s="279"/>
      <c r="F6" s="290">
        <f>F5</f>
        <v>62577.777777777781</v>
      </c>
    </row>
    <row r="7" spans="1:6" ht="19.399999999999999" customHeight="1">
      <c r="A7" s="199">
        <v>1.03</v>
      </c>
      <c r="B7" s="16" t="s">
        <v>114</v>
      </c>
      <c r="C7" s="35" t="s">
        <v>28</v>
      </c>
      <c r="D7" s="125">
        <f>(0.75*0.75*1.25)*10</f>
        <v>7.03125</v>
      </c>
      <c r="E7" s="138">
        <f>SUM(F7)/D7</f>
        <v>5640</v>
      </c>
      <c r="F7" s="153">
        <f>F11</f>
        <v>39656.25</v>
      </c>
    </row>
    <row r="8" spans="1:6" ht="19.399999999999999" customHeight="1">
      <c r="A8" s="200"/>
      <c r="B8" s="8" t="s">
        <v>6</v>
      </c>
      <c r="C8" s="9"/>
      <c r="D8" s="118"/>
      <c r="E8" s="133"/>
      <c r="F8" s="155"/>
    </row>
    <row r="9" spans="1:6" ht="19.399999999999999" customHeight="1">
      <c r="A9" s="200"/>
      <c r="B9" s="13" t="s">
        <v>92</v>
      </c>
      <c r="C9" s="9" t="s">
        <v>8</v>
      </c>
      <c r="D9" s="118">
        <f>D10/10</f>
        <v>0.78125</v>
      </c>
      <c r="E9" s="133">
        <v>10760</v>
      </c>
      <c r="F9" s="155">
        <f>D9*E9</f>
        <v>8406.25</v>
      </c>
    </row>
    <row r="10" spans="1:6" ht="19.399999999999999" customHeight="1">
      <c r="A10" s="200"/>
      <c r="B10" s="13" t="s">
        <v>7</v>
      </c>
      <c r="C10" s="9" t="s">
        <v>8</v>
      </c>
      <c r="D10" s="118">
        <f>D7/0.9</f>
        <v>7.8125</v>
      </c>
      <c r="E10" s="133">
        <v>4000</v>
      </c>
      <c r="F10" s="155">
        <f>+D10*E10</f>
        <v>31250</v>
      </c>
    </row>
    <row r="11" spans="1:6" s="54" customFormat="1" ht="19.399999999999999" customHeight="1">
      <c r="A11" s="174"/>
      <c r="B11" s="60" t="s">
        <v>9</v>
      </c>
      <c r="C11" s="61"/>
      <c r="D11" s="115"/>
      <c r="E11" s="279"/>
      <c r="F11" s="290">
        <f>SUM(F9:F10)</f>
        <v>39656.25</v>
      </c>
    </row>
    <row r="12" spans="1:6" ht="19.399999999999999" customHeight="1">
      <c r="A12" s="201"/>
      <c r="B12" s="60"/>
      <c r="C12" s="44"/>
      <c r="D12" s="116"/>
      <c r="E12" s="280"/>
      <c r="F12" s="291"/>
    </row>
    <row r="13" spans="1:6" ht="38.4" customHeight="1">
      <c r="A13" s="158">
        <v>2</v>
      </c>
      <c r="B13" s="480" t="s">
        <v>0</v>
      </c>
      <c r="C13" s="480"/>
      <c r="D13" s="480"/>
      <c r="E13" s="480"/>
      <c r="F13" s="481"/>
    </row>
    <row r="14" spans="1:6" ht="19.399999999999999" customHeight="1">
      <c r="A14" s="202">
        <v>2.0099999999999998</v>
      </c>
      <c r="B14" s="2" t="s">
        <v>71</v>
      </c>
      <c r="C14" s="3" t="s">
        <v>1</v>
      </c>
      <c r="D14" s="117">
        <f>44*0.4</f>
        <v>17.600000000000001</v>
      </c>
      <c r="E14" s="134">
        <f>F14/D14</f>
        <v>1066.6666666666667</v>
      </c>
      <c r="F14" s="160">
        <f>F16+F20</f>
        <v>18773.333333333336</v>
      </c>
    </row>
    <row r="15" spans="1:6" ht="19.399999999999999" customHeight="1">
      <c r="A15" s="200"/>
      <c r="B15" s="8" t="s">
        <v>2</v>
      </c>
      <c r="C15" s="9"/>
      <c r="D15" s="118"/>
      <c r="E15" s="133"/>
      <c r="F15" s="155"/>
    </row>
    <row r="16" spans="1:6" ht="19.399999999999999" customHeight="1">
      <c r="A16" s="200"/>
      <c r="B16" s="48" t="s">
        <v>3</v>
      </c>
      <c r="C16" s="9" t="s">
        <v>4</v>
      </c>
      <c r="D16" s="118">
        <f>D14/10</f>
        <v>1.7600000000000002</v>
      </c>
      <c r="E16" s="133">
        <v>10000</v>
      </c>
      <c r="F16" s="155">
        <f>D16*E16</f>
        <v>17600.000000000004</v>
      </c>
    </row>
    <row r="17" spans="1:6" ht="19.399999999999999" customHeight="1">
      <c r="A17" s="170"/>
      <c r="B17" s="60" t="s">
        <v>5</v>
      </c>
      <c r="C17" s="12"/>
      <c r="D17" s="121"/>
      <c r="E17" s="135"/>
      <c r="F17" s="162">
        <f>SUM(F16)</f>
        <v>17600.000000000004</v>
      </c>
    </row>
    <row r="18" spans="1:6" ht="19.399999999999999" customHeight="1">
      <c r="A18" s="200"/>
      <c r="B18" s="48"/>
      <c r="C18" s="9"/>
      <c r="D18" s="118"/>
      <c r="E18" s="133"/>
      <c r="F18" s="155"/>
    </row>
    <row r="19" spans="1:6" ht="19.399999999999999" customHeight="1">
      <c r="A19" s="200"/>
      <c r="B19" s="8" t="s">
        <v>6</v>
      </c>
      <c r="C19" s="9"/>
      <c r="D19" s="118"/>
      <c r="E19" s="133"/>
      <c r="F19" s="155"/>
    </row>
    <row r="20" spans="1:6" ht="19.399999999999999" customHeight="1">
      <c r="A20" s="200"/>
      <c r="B20" s="13" t="s">
        <v>7</v>
      </c>
      <c r="C20" s="9" t="s">
        <v>8</v>
      </c>
      <c r="D20" s="118">
        <f>D14/60</f>
        <v>0.29333333333333333</v>
      </c>
      <c r="E20" s="133">
        <v>4000</v>
      </c>
      <c r="F20" s="155">
        <f>D20*E20</f>
        <v>1173.3333333333333</v>
      </c>
    </row>
    <row r="21" spans="1:6" ht="19.399999999999999" customHeight="1">
      <c r="A21" s="174"/>
      <c r="B21" s="60" t="s">
        <v>9</v>
      </c>
      <c r="C21" s="61"/>
      <c r="D21" s="120"/>
      <c r="E21" s="279"/>
      <c r="F21" s="290">
        <f>F20</f>
        <v>1173.3333333333333</v>
      </c>
    </row>
    <row r="22" spans="1:6" ht="19.399999999999999" customHeight="1">
      <c r="A22" s="202">
        <v>2.02</v>
      </c>
      <c r="B22" s="2" t="s">
        <v>97</v>
      </c>
      <c r="C22" s="3" t="s">
        <v>1</v>
      </c>
      <c r="D22" s="117">
        <v>78</v>
      </c>
      <c r="E22" s="134">
        <f>F22/D22</f>
        <v>1066.6666666666667</v>
      </c>
      <c r="F22" s="160">
        <f>F24+F28</f>
        <v>83200</v>
      </c>
    </row>
    <row r="23" spans="1:6" ht="19.399999999999999" customHeight="1">
      <c r="A23" s="200"/>
      <c r="B23" s="8" t="s">
        <v>2</v>
      </c>
      <c r="C23" s="9"/>
      <c r="D23" s="118"/>
      <c r="E23" s="133"/>
      <c r="F23" s="155"/>
    </row>
    <row r="24" spans="1:6" ht="19.399999999999999" customHeight="1">
      <c r="A24" s="200"/>
      <c r="B24" s="48" t="s">
        <v>3</v>
      </c>
      <c r="C24" s="9" t="s">
        <v>4</v>
      </c>
      <c r="D24" s="118">
        <f>D22/10</f>
        <v>7.8</v>
      </c>
      <c r="E24" s="133">
        <v>10000</v>
      </c>
      <c r="F24" s="155">
        <f>D24*E24</f>
        <v>78000</v>
      </c>
    </row>
    <row r="25" spans="1:6" ht="19.399999999999999" customHeight="1">
      <c r="A25" s="170"/>
      <c r="B25" s="60" t="s">
        <v>5</v>
      </c>
      <c r="C25" s="12"/>
      <c r="D25" s="121"/>
      <c r="E25" s="135"/>
      <c r="F25" s="162">
        <f>SUM(F24)</f>
        <v>78000</v>
      </c>
    </row>
    <row r="26" spans="1:6" ht="19.399999999999999" customHeight="1">
      <c r="A26" s="200"/>
      <c r="B26" s="48"/>
      <c r="C26" s="9"/>
      <c r="D26" s="118"/>
      <c r="E26" s="133"/>
      <c r="F26" s="155"/>
    </row>
    <row r="27" spans="1:6" ht="19.399999999999999" customHeight="1">
      <c r="A27" s="200"/>
      <c r="B27" s="8" t="s">
        <v>6</v>
      </c>
      <c r="C27" s="9"/>
      <c r="D27" s="118"/>
      <c r="E27" s="133"/>
      <c r="F27" s="155"/>
    </row>
    <row r="28" spans="1:6" ht="19.399999999999999" customHeight="1">
      <c r="A28" s="200"/>
      <c r="B28" s="13" t="s">
        <v>7</v>
      </c>
      <c r="C28" s="9" t="s">
        <v>8</v>
      </c>
      <c r="D28" s="118">
        <f>D22/60</f>
        <v>1.3</v>
      </c>
      <c r="E28" s="133">
        <v>4000</v>
      </c>
      <c r="F28" s="155">
        <f>D28*E28</f>
        <v>5200</v>
      </c>
    </row>
    <row r="29" spans="1:6" ht="19.399999999999999" customHeight="1">
      <c r="A29" s="174"/>
      <c r="B29" s="60" t="s">
        <v>9</v>
      </c>
      <c r="C29" s="61"/>
      <c r="D29" s="120"/>
      <c r="E29" s="279"/>
      <c r="F29" s="290">
        <f>F28</f>
        <v>5200</v>
      </c>
    </row>
    <row r="30" spans="1:6" ht="19.399999999999999" customHeight="1">
      <c r="A30" s="199">
        <v>2.0299999999999998</v>
      </c>
      <c r="B30" s="16" t="s">
        <v>96</v>
      </c>
      <c r="C30" s="35" t="s">
        <v>1</v>
      </c>
      <c r="D30" s="125">
        <f>(0.75*0.75)*10</f>
        <v>5.625</v>
      </c>
      <c r="E30" s="138">
        <f>SUM(F30)/D30</f>
        <v>1066.6666666666667</v>
      </c>
      <c r="F30" s="153">
        <f>F33+F37</f>
        <v>6000</v>
      </c>
    </row>
    <row r="31" spans="1:6" ht="19.399999999999999" customHeight="1">
      <c r="A31" s="200"/>
      <c r="B31" s="8" t="s">
        <v>2</v>
      </c>
      <c r="C31" s="9"/>
      <c r="D31" s="118"/>
      <c r="E31" s="133"/>
      <c r="F31" s="155"/>
    </row>
    <row r="32" spans="1:6" ht="19.649999999999999" customHeight="1">
      <c r="A32" s="200"/>
      <c r="B32" s="48" t="s">
        <v>3</v>
      </c>
      <c r="C32" s="9" t="s">
        <v>4</v>
      </c>
      <c r="D32" s="118">
        <f>D30/10</f>
        <v>0.5625</v>
      </c>
      <c r="E32" s="133">
        <v>10000</v>
      </c>
      <c r="F32" s="155">
        <f>D32*E32</f>
        <v>5625</v>
      </c>
    </row>
    <row r="33" spans="1:6" ht="19.399999999999999" customHeight="1">
      <c r="A33" s="170"/>
      <c r="B33" s="60" t="s">
        <v>5</v>
      </c>
      <c r="C33" s="12"/>
      <c r="D33" s="121"/>
      <c r="E33" s="135"/>
      <c r="F33" s="162">
        <f>SUM(F32)</f>
        <v>5625</v>
      </c>
    </row>
    <row r="34" spans="1:6" ht="19.399999999999999" customHeight="1">
      <c r="A34" s="170"/>
      <c r="B34" s="60"/>
      <c r="C34" s="12"/>
      <c r="D34" s="121"/>
      <c r="E34" s="135"/>
      <c r="F34" s="162"/>
    </row>
    <row r="35" spans="1:6" ht="19.399999999999999" customHeight="1">
      <c r="A35" s="200"/>
      <c r="B35" s="8" t="s">
        <v>6</v>
      </c>
      <c r="C35" s="9"/>
      <c r="D35" s="118"/>
      <c r="E35" s="133"/>
      <c r="F35" s="155"/>
    </row>
    <row r="36" spans="1:6" ht="19.399999999999999" customHeight="1">
      <c r="A36" s="200"/>
      <c r="B36" s="13" t="s">
        <v>7</v>
      </c>
      <c r="C36" s="9" t="s">
        <v>8</v>
      </c>
      <c r="D36" s="118">
        <f>D30/60</f>
        <v>9.375E-2</v>
      </c>
      <c r="E36" s="133">
        <v>4000</v>
      </c>
      <c r="F36" s="155">
        <f>+D36*E36</f>
        <v>375</v>
      </c>
    </row>
    <row r="37" spans="1:6" ht="19.399999999999999" customHeight="1">
      <c r="A37" s="174"/>
      <c r="B37" s="60" t="s">
        <v>9</v>
      </c>
      <c r="C37" s="61"/>
      <c r="D37" s="120"/>
      <c r="E37" s="279"/>
      <c r="F37" s="290">
        <f>SUM(F36:F36)</f>
        <v>375</v>
      </c>
    </row>
    <row r="38" spans="1:6" ht="19.399999999999999" customHeight="1">
      <c r="A38" s="174"/>
      <c r="B38" s="60"/>
      <c r="C38" s="61"/>
      <c r="D38" s="115"/>
      <c r="E38" s="279"/>
      <c r="F38" s="290"/>
    </row>
    <row r="39" spans="1:6" ht="19.399999999999999" customHeight="1">
      <c r="A39" s="163">
        <v>3</v>
      </c>
      <c r="B39" s="482" t="s">
        <v>77</v>
      </c>
      <c r="C39" s="482"/>
      <c r="D39" s="482"/>
      <c r="E39" s="482"/>
      <c r="F39" s="483"/>
    </row>
    <row r="40" spans="1:6" ht="19.399999999999999" customHeight="1">
      <c r="A40" s="199">
        <v>3.01</v>
      </c>
      <c r="B40" s="16" t="s">
        <v>71</v>
      </c>
      <c r="C40" s="3" t="s">
        <v>1</v>
      </c>
      <c r="D40" s="117">
        <f>44*0.4</f>
        <v>17.600000000000001</v>
      </c>
      <c r="E40" s="134">
        <f>SUM(F40)/D40</f>
        <v>5199.5494358974365</v>
      </c>
      <c r="F40" s="160">
        <f>F47+F51+F57</f>
        <v>91512.070071794893</v>
      </c>
    </row>
    <row r="41" spans="1:6" ht="19.399999999999999" customHeight="1">
      <c r="A41" s="203"/>
      <c r="B41" s="19"/>
      <c r="C41" s="20" t="s">
        <v>10</v>
      </c>
      <c r="D41" s="137">
        <f>D40*0.05</f>
        <v>0.88000000000000012</v>
      </c>
      <c r="E41" s="136"/>
      <c r="F41" s="165"/>
    </row>
    <row r="42" spans="1:6" ht="19.399999999999999" customHeight="1">
      <c r="A42" s="204"/>
      <c r="B42" s="97" t="s">
        <v>2</v>
      </c>
      <c r="C42" s="23"/>
      <c r="D42" s="118"/>
      <c r="E42" s="133"/>
      <c r="F42" s="292"/>
    </row>
    <row r="43" spans="1:6" ht="19.399999999999999" customHeight="1">
      <c r="A43" s="204"/>
      <c r="B43" s="98" t="s">
        <v>11</v>
      </c>
      <c r="C43" s="23" t="s">
        <v>12</v>
      </c>
      <c r="D43" s="118">
        <f>D41*(1/13)*1.57*(1440/50)</f>
        <v>3.0607753846153853</v>
      </c>
      <c r="E43" s="133">
        <v>12000</v>
      </c>
      <c r="F43" s="292">
        <f>D43*E43</f>
        <v>36729.304615384623</v>
      </c>
    </row>
    <row r="44" spans="1:6" ht="19.399999999999999" customHeight="1">
      <c r="A44" s="204"/>
      <c r="B44" s="98" t="s">
        <v>13</v>
      </c>
      <c r="C44" s="23" t="s">
        <v>10</v>
      </c>
      <c r="D44" s="118">
        <f>D41*(4/13)*1.57</f>
        <v>0.42510769230769241</v>
      </c>
      <c r="E44" s="133">
        <v>25000</v>
      </c>
      <c r="F44" s="292">
        <f>D44*E44</f>
        <v>10627.69230769231</v>
      </c>
    </row>
    <row r="45" spans="1:6" ht="19.399999999999999" customHeight="1">
      <c r="A45" s="204"/>
      <c r="B45" s="98" t="s">
        <v>14</v>
      </c>
      <c r="C45" s="23" t="s">
        <v>10</v>
      </c>
      <c r="D45" s="118">
        <f>D41*(8/13)*1.57</f>
        <v>0.85021538461538482</v>
      </c>
      <c r="E45" s="133">
        <v>25000</v>
      </c>
      <c r="F45" s="292">
        <f>D45*E45</f>
        <v>21255.384615384621</v>
      </c>
    </row>
    <row r="46" spans="1:6" ht="19.399999999999999" customHeight="1">
      <c r="A46" s="204"/>
      <c r="B46" s="98" t="s">
        <v>15</v>
      </c>
      <c r="C46" s="23" t="s">
        <v>16</v>
      </c>
      <c r="D46" s="118">
        <f>D50*10</f>
        <v>1.466666666666667</v>
      </c>
      <c r="E46" s="133">
        <v>1587</v>
      </c>
      <c r="F46" s="292">
        <f>D46*E46</f>
        <v>2327.6000000000004</v>
      </c>
    </row>
    <row r="47" spans="1:6" ht="19.399999999999999" customHeight="1">
      <c r="A47" s="168"/>
      <c r="B47" s="97" t="s">
        <v>18</v>
      </c>
      <c r="C47" s="28"/>
      <c r="D47" s="121"/>
      <c r="E47" s="135"/>
      <c r="F47" s="293">
        <f>SUM(F43:F46)</f>
        <v>70939.981538461565</v>
      </c>
    </row>
    <row r="48" spans="1:6" ht="19.399999999999999" customHeight="1">
      <c r="A48" s="204"/>
      <c r="B48" s="98"/>
      <c r="C48" s="23"/>
      <c r="D48" s="118"/>
      <c r="E48" s="133"/>
      <c r="F48" s="292"/>
    </row>
    <row r="49" spans="1:6" ht="19.399999999999999" customHeight="1">
      <c r="A49" s="204"/>
      <c r="B49" s="97" t="s">
        <v>19</v>
      </c>
      <c r="C49" s="23"/>
      <c r="D49" s="118"/>
      <c r="E49" s="133"/>
      <c r="F49" s="292"/>
    </row>
    <row r="50" spans="1:6" ht="19.399999999999999" customHeight="1">
      <c r="A50" s="204"/>
      <c r="B50" s="98" t="s">
        <v>20</v>
      </c>
      <c r="C50" s="23" t="s">
        <v>21</v>
      </c>
      <c r="D50" s="118">
        <f>D41/6</f>
        <v>0.1466666666666667</v>
      </c>
      <c r="E50" s="133">
        <v>50000</v>
      </c>
      <c r="F50" s="292">
        <f>D50*E50</f>
        <v>7333.3333333333348</v>
      </c>
    </row>
    <row r="51" spans="1:6" ht="19.399999999999999" customHeight="1">
      <c r="A51" s="168"/>
      <c r="B51" s="97" t="s">
        <v>23</v>
      </c>
      <c r="C51" s="28"/>
      <c r="D51" s="121"/>
      <c r="E51" s="135"/>
      <c r="F51" s="293">
        <f>SUM(F50:F50)</f>
        <v>7333.3333333333348</v>
      </c>
    </row>
    <row r="52" spans="1:6" ht="19.399999999999999" customHeight="1">
      <c r="A52" s="204"/>
      <c r="B52" s="98"/>
      <c r="C52" s="23"/>
      <c r="D52" s="118"/>
      <c r="E52" s="133"/>
      <c r="F52" s="292"/>
    </row>
    <row r="53" spans="1:6" ht="19.399999999999999" customHeight="1">
      <c r="A53" s="204"/>
      <c r="B53" s="97" t="s">
        <v>6</v>
      </c>
      <c r="C53" s="23"/>
      <c r="D53" s="118"/>
      <c r="E53" s="133"/>
      <c r="F53" s="292"/>
    </row>
    <row r="54" spans="1:6" ht="19.399999999999999" customHeight="1">
      <c r="A54" s="204"/>
      <c r="B54" s="98" t="s">
        <v>24</v>
      </c>
      <c r="C54" s="23" t="s">
        <v>21</v>
      </c>
      <c r="D54" s="118">
        <f>(D41/6)*2</f>
        <v>0.29333333333333339</v>
      </c>
      <c r="E54" s="133">
        <v>6088.08</v>
      </c>
      <c r="F54" s="292">
        <f>D54*E54</f>
        <v>1785.8368000000003</v>
      </c>
    </row>
    <row r="55" spans="1:6" ht="19.399999999999999" customHeight="1">
      <c r="A55" s="204"/>
      <c r="B55" s="98" t="s">
        <v>25</v>
      </c>
      <c r="C55" s="23" t="s">
        <v>21</v>
      </c>
      <c r="D55" s="118">
        <f>(D41/6)*18</f>
        <v>2.6400000000000006</v>
      </c>
      <c r="E55" s="133">
        <v>4000</v>
      </c>
      <c r="F55" s="292">
        <f>D55*E55</f>
        <v>10560.000000000002</v>
      </c>
    </row>
    <row r="56" spans="1:6" ht="19.399999999999999" customHeight="1">
      <c r="A56" s="204"/>
      <c r="B56" s="98" t="s">
        <v>26</v>
      </c>
      <c r="C56" s="23" t="s">
        <v>21</v>
      </c>
      <c r="D56" s="118">
        <f>D50</f>
        <v>0.1466666666666667</v>
      </c>
      <c r="E56" s="133">
        <v>6088.08</v>
      </c>
      <c r="F56" s="292">
        <f>D56*E56</f>
        <v>892.91840000000013</v>
      </c>
    </row>
    <row r="57" spans="1:6" ht="19.399999999999999" customHeight="1">
      <c r="A57" s="168"/>
      <c r="B57" s="97" t="s">
        <v>27</v>
      </c>
      <c r="C57" s="28"/>
      <c r="D57" s="121"/>
      <c r="E57" s="135"/>
      <c r="F57" s="293">
        <f>SUM(F54:F56)</f>
        <v>13238.755200000003</v>
      </c>
    </row>
    <row r="58" spans="1:6" ht="19.399999999999999" customHeight="1">
      <c r="A58" s="199">
        <v>3.02</v>
      </c>
      <c r="B58" s="16" t="s">
        <v>98</v>
      </c>
      <c r="C58" s="3" t="s">
        <v>1</v>
      </c>
      <c r="D58" s="117">
        <f>(0.75*0.75)*10</f>
        <v>5.625</v>
      </c>
      <c r="E58" s="134">
        <f>SUM(F58)/D58</f>
        <v>5199.5494358974356</v>
      </c>
      <c r="F58" s="160">
        <f>F65+F69+F75</f>
        <v>29247.465576923078</v>
      </c>
    </row>
    <row r="59" spans="1:6" ht="19.399999999999999" customHeight="1">
      <c r="A59" s="203"/>
      <c r="B59" s="19"/>
      <c r="C59" s="20" t="s">
        <v>10</v>
      </c>
      <c r="D59" s="137">
        <f>D58*0.05</f>
        <v>0.28125</v>
      </c>
      <c r="E59" s="136"/>
      <c r="F59" s="165"/>
    </row>
    <row r="60" spans="1:6" ht="19.399999999999999" customHeight="1">
      <c r="A60" s="204"/>
      <c r="B60" s="97" t="s">
        <v>2</v>
      </c>
      <c r="C60" s="23"/>
      <c r="D60" s="118"/>
      <c r="E60" s="133"/>
      <c r="F60" s="292"/>
    </row>
    <row r="61" spans="1:6" ht="19.399999999999999" customHeight="1">
      <c r="A61" s="204"/>
      <c r="B61" s="98" t="s">
        <v>11</v>
      </c>
      <c r="C61" s="23" t="s">
        <v>12</v>
      </c>
      <c r="D61" s="118">
        <f>D59*(1/13)*1.57*(1440/50)</f>
        <v>0.97823076923076924</v>
      </c>
      <c r="E61" s="133">
        <v>12000</v>
      </c>
      <c r="F61" s="292">
        <f>D61*E61</f>
        <v>11738.76923076923</v>
      </c>
    </row>
    <row r="62" spans="1:6" ht="19.399999999999999" customHeight="1">
      <c r="A62" s="204"/>
      <c r="B62" s="98" t="s">
        <v>13</v>
      </c>
      <c r="C62" s="23" t="s">
        <v>10</v>
      </c>
      <c r="D62" s="118">
        <f>D59*(4/13)*1.57</f>
        <v>0.13586538461538461</v>
      </c>
      <c r="E62" s="133">
        <v>25000</v>
      </c>
      <c r="F62" s="292">
        <f>D62*E62</f>
        <v>3396.6346153846152</v>
      </c>
    </row>
    <row r="63" spans="1:6" ht="19.399999999999999" customHeight="1">
      <c r="A63" s="204"/>
      <c r="B63" s="98" t="s">
        <v>14</v>
      </c>
      <c r="C63" s="23" t="s">
        <v>10</v>
      </c>
      <c r="D63" s="118">
        <f>D59*(8/13)*1.57</f>
        <v>0.27173076923076922</v>
      </c>
      <c r="E63" s="133">
        <v>25000</v>
      </c>
      <c r="F63" s="292">
        <f>D63*E63</f>
        <v>6793.2692307692305</v>
      </c>
    </row>
    <row r="64" spans="1:6" ht="19.399999999999999" customHeight="1">
      <c r="A64" s="204"/>
      <c r="B64" s="98" t="s">
        <v>15</v>
      </c>
      <c r="C64" s="23" t="s">
        <v>16</v>
      </c>
      <c r="D64" s="118">
        <f>D68*10</f>
        <v>0.46875</v>
      </c>
      <c r="E64" s="133">
        <v>1587</v>
      </c>
      <c r="F64" s="292">
        <f>D64*E64</f>
        <v>743.90625</v>
      </c>
    </row>
    <row r="65" spans="1:6" ht="19.399999999999999" customHeight="1">
      <c r="A65" s="168"/>
      <c r="B65" s="97" t="s">
        <v>18</v>
      </c>
      <c r="C65" s="28"/>
      <c r="D65" s="121"/>
      <c r="E65" s="135"/>
      <c r="F65" s="293">
        <f>SUM(F61:F64)</f>
        <v>22672.579326923078</v>
      </c>
    </row>
    <row r="66" spans="1:6" ht="19.399999999999999" customHeight="1">
      <c r="A66" s="204"/>
      <c r="B66" s="98"/>
      <c r="C66" s="23"/>
      <c r="D66" s="118"/>
      <c r="E66" s="133"/>
      <c r="F66" s="292"/>
    </row>
    <row r="67" spans="1:6" ht="19.399999999999999" customHeight="1">
      <c r="A67" s="204"/>
      <c r="B67" s="97" t="s">
        <v>19</v>
      </c>
      <c r="C67" s="23"/>
      <c r="D67" s="118"/>
      <c r="E67" s="133"/>
      <c r="F67" s="292"/>
    </row>
    <row r="68" spans="1:6" ht="19.399999999999999" customHeight="1">
      <c r="A68" s="204"/>
      <c r="B68" s="98" t="s">
        <v>20</v>
      </c>
      <c r="C68" s="23" t="s">
        <v>21</v>
      </c>
      <c r="D68" s="118">
        <f>D59/6</f>
        <v>4.6875E-2</v>
      </c>
      <c r="E68" s="133">
        <v>50000</v>
      </c>
      <c r="F68" s="292">
        <f>D68*E68</f>
        <v>2343.75</v>
      </c>
    </row>
    <row r="69" spans="1:6" ht="19.399999999999999" customHeight="1">
      <c r="A69" s="168"/>
      <c r="B69" s="97" t="s">
        <v>23</v>
      </c>
      <c r="C69" s="28"/>
      <c r="D69" s="121"/>
      <c r="E69" s="135"/>
      <c r="F69" s="293">
        <f>SUM(F68:F68)</f>
        <v>2343.75</v>
      </c>
    </row>
    <row r="70" spans="1:6" ht="19.399999999999999" customHeight="1">
      <c r="A70" s="204"/>
      <c r="B70" s="98"/>
      <c r="C70" s="23"/>
      <c r="D70" s="118"/>
      <c r="E70" s="133"/>
      <c r="F70" s="292"/>
    </row>
    <row r="71" spans="1:6" ht="19.399999999999999" customHeight="1">
      <c r="A71" s="204"/>
      <c r="B71" s="97" t="s">
        <v>6</v>
      </c>
      <c r="C71" s="23"/>
      <c r="D71" s="118"/>
      <c r="E71" s="133"/>
      <c r="F71" s="292"/>
    </row>
    <row r="72" spans="1:6" ht="19.399999999999999" customHeight="1">
      <c r="A72" s="204"/>
      <c r="B72" s="98" t="s">
        <v>24</v>
      </c>
      <c r="C72" s="23" t="s">
        <v>21</v>
      </c>
      <c r="D72" s="118">
        <f>(D59/6)*2</f>
        <v>9.375E-2</v>
      </c>
      <c r="E72" s="133">
        <v>6088.08</v>
      </c>
      <c r="F72" s="292">
        <f>D72*E72</f>
        <v>570.75749999999994</v>
      </c>
    </row>
    <row r="73" spans="1:6" ht="19.399999999999999" customHeight="1">
      <c r="A73" s="204"/>
      <c r="B73" s="98" t="s">
        <v>25</v>
      </c>
      <c r="C73" s="23" t="s">
        <v>21</v>
      </c>
      <c r="D73" s="118">
        <f>(D59/6)*18</f>
        <v>0.84375</v>
      </c>
      <c r="E73" s="133">
        <v>4000</v>
      </c>
      <c r="F73" s="292">
        <f>D73*E73</f>
        <v>3375</v>
      </c>
    </row>
    <row r="74" spans="1:6" ht="19.399999999999999" customHeight="1">
      <c r="A74" s="204"/>
      <c r="B74" s="98" t="s">
        <v>26</v>
      </c>
      <c r="C74" s="23" t="s">
        <v>21</v>
      </c>
      <c r="D74" s="118">
        <f>D68</f>
        <v>4.6875E-2</v>
      </c>
      <c r="E74" s="133">
        <v>6088.08</v>
      </c>
      <c r="F74" s="292">
        <f>D74*E74</f>
        <v>285.37874999999997</v>
      </c>
    </row>
    <row r="75" spans="1:6" ht="19.399999999999999" customHeight="1">
      <c r="A75" s="168"/>
      <c r="B75" s="97" t="s">
        <v>27</v>
      </c>
      <c r="C75" s="28"/>
      <c r="D75" s="121"/>
      <c r="E75" s="135"/>
      <c r="F75" s="293">
        <f>SUM(F72:F74)</f>
        <v>4231.1362499999996</v>
      </c>
    </row>
    <row r="76" spans="1:6" ht="19.399999999999999" customHeight="1">
      <c r="A76" s="168"/>
      <c r="B76" s="97"/>
      <c r="C76" s="28"/>
      <c r="D76" s="121"/>
      <c r="E76" s="135"/>
      <c r="F76" s="293"/>
    </row>
    <row r="77" spans="1:6" ht="19.399999999999999" customHeight="1">
      <c r="A77" s="168">
        <v>4</v>
      </c>
      <c r="B77" s="484" t="s">
        <v>82</v>
      </c>
      <c r="C77" s="484"/>
      <c r="D77" s="484"/>
      <c r="E77" s="484"/>
      <c r="F77" s="485"/>
    </row>
    <row r="78" spans="1:6" ht="19.399999999999999" customHeight="1">
      <c r="A78" s="199">
        <v>4.01</v>
      </c>
      <c r="B78" s="99" t="s">
        <v>83</v>
      </c>
      <c r="C78" s="69" t="s">
        <v>50</v>
      </c>
      <c r="D78" s="125">
        <f>((0.75*0.2)*4)*6</f>
        <v>3.6000000000000005</v>
      </c>
      <c r="E78" s="138">
        <f>F78/D78</f>
        <v>12874.418832391713</v>
      </c>
      <c r="F78" s="294">
        <f>F83+F88</f>
        <v>46347.907796610176</v>
      </c>
    </row>
    <row r="79" spans="1:6" ht="19.399999999999999" customHeight="1">
      <c r="A79" s="204"/>
      <c r="B79" s="97" t="s">
        <v>2</v>
      </c>
      <c r="C79" s="23"/>
      <c r="D79" s="114"/>
      <c r="E79" s="133"/>
      <c r="F79" s="292"/>
    </row>
    <row r="80" spans="1:6" ht="19.399999999999999" customHeight="1">
      <c r="A80" s="204"/>
      <c r="B80" s="98" t="s">
        <v>84</v>
      </c>
      <c r="C80" s="23" t="s">
        <v>85</v>
      </c>
      <c r="D80" s="118">
        <f>D78/(2.4*1.2)/2</f>
        <v>0.62500000000000011</v>
      </c>
      <c r="E80" s="133">
        <v>32000</v>
      </c>
      <c r="F80" s="292">
        <f>D80*E80</f>
        <v>20000.000000000004</v>
      </c>
    </row>
    <row r="81" spans="1:6" ht="19.399999999999999" customHeight="1">
      <c r="A81" s="204"/>
      <c r="B81" s="98" t="s">
        <v>86</v>
      </c>
      <c r="C81" s="23" t="s">
        <v>44</v>
      </c>
      <c r="D81" s="118">
        <f>D78*1.5</f>
        <v>5.4</v>
      </c>
      <c r="E81" s="133">
        <v>4000</v>
      </c>
      <c r="F81" s="292">
        <f>D81*E81</f>
        <v>21600</v>
      </c>
    </row>
    <row r="82" spans="1:6" ht="19.399999999999999" customHeight="1">
      <c r="A82" s="200"/>
      <c r="B82" s="98" t="s">
        <v>87</v>
      </c>
      <c r="C82" s="23" t="s">
        <v>88</v>
      </c>
      <c r="D82" s="118">
        <f>D78*0.25</f>
        <v>0.90000000000000013</v>
      </c>
      <c r="E82" s="133">
        <f>1500/1.18</f>
        <v>1271.1864406779662</v>
      </c>
      <c r="F82" s="292">
        <f>D82*E82</f>
        <v>1144.0677966101698</v>
      </c>
    </row>
    <row r="83" spans="1:6" ht="19.399999999999999" customHeight="1">
      <c r="A83" s="200"/>
      <c r="B83" s="97" t="s">
        <v>89</v>
      </c>
      <c r="C83" s="28"/>
      <c r="D83" s="121"/>
      <c r="E83" s="135"/>
      <c r="F83" s="293">
        <f>SUM(F80:F82)</f>
        <v>42744.067796610172</v>
      </c>
    </row>
    <row r="84" spans="1:6" ht="19.399999999999999" customHeight="1">
      <c r="A84" s="200"/>
      <c r="B84" s="98"/>
      <c r="C84" s="23"/>
      <c r="D84" s="118"/>
      <c r="E84" s="133"/>
      <c r="F84" s="292"/>
    </row>
    <row r="85" spans="1:6" ht="19.399999999999999" customHeight="1">
      <c r="A85" s="201"/>
      <c r="B85" s="97" t="s">
        <v>6</v>
      </c>
      <c r="C85" s="23"/>
      <c r="D85" s="118"/>
      <c r="E85" s="133"/>
      <c r="F85" s="292"/>
    </row>
    <row r="86" spans="1:6" ht="19.399999999999999" customHeight="1">
      <c r="A86" s="201"/>
      <c r="B86" s="98" t="s">
        <v>90</v>
      </c>
      <c r="C86" s="23" t="s">
        <v>21</v>
      </c>
      <c r="D86" s="118">
        <f>D78/15</f>
        <v>0.24000000000000005</v>
      </c>
      <c r="E86" s="133">
        <v>7016</v>
      </c>
      <c r="F86" s="292">
        <f>D86*E86</f>
        <v>1683.8400000000004</v>
      </c>
    </row>
    <row r="87" spans="1:6" ht="19.399999999999999" customHeight="1">
      <c r="A87" s="201"/>
      <c r="B87" s="98" t="s">
        <v>25</v>
      </c>
      <c r="C87" s="23" t="s">
        <v>21</v>
      </c>
      <c r="D87" s="118">
        <f>D86*2</f>
        <v>0.48000000000000009</v>
      </c>
      <c r="E87" s="133">
        <v>4000</v>
      </c>
      <c r="F87" s="292">
        <f>D87*E87</f>
        <v>1920.0000000000005</v>
      </c>
    </row>
    <row r="88" spans="1:6" ht="19.399999999999999" customHeight="1">
      <c r="A88" s="204"/>
      <c r="B88" s="97" t="s">
        <v>91</v>
      </c>
      <c r="C88" s="28"/>
      <c r="D88" s="122"/>
      <c r="E88" s="135"/>
      <c r="F88" s="293">
        <f>SUM(F86:F87)</f>
        <v>3603.8400000000011</v>
      </c>
    </row>
    <row r="89" spans="1:6" ht="19.399999999999999" customHeight="1">
      <c r="A89" s="199">
        <v>4.0199999999999996</v>
      </c>
      <c r="B89" s="99" t="s">
        <v>118</v>
      </c>
      <c r="C89" s="69" t="s">
        <v>50</v>
      </c>
      <c r="D89" s="125">
        <f>((1.05*0.3)*4)*10</f>
        <v>12.6</v>
      </c>
      <c r="E89" s="138">
        <f>F89/D89</f>
        <v>12874.418832391715</v>
      </c>
      <c r="F89" s="294">
        <f>F94+F99</f>
        <v>162217.6772881356</v>
      </c>
    </row>
    <row r="90" spans="1:6" ht="19.399999999999999" customHeight="1">
      <c r="A90" s="204"/>
      <c r="B90" s="97" t="s">
        <v>2</v>
      </c>
      <c r="C90" s="23"/>
      <c r="D90" s="114"/>
      <c r="E90" s="133"/>
      <c r="F90" s="292"/>
    </row>
    <row r="91" spans="1:6" ht="19.399999999999999" customHeight="1">
      <c r="A91" s="204"/>
      <c r="B91" s="98" t="s">
        <v>84</v>
      </c>
      <c r="C91" s="23" t="s">
        <v>85</v>
      </c>
      <c r="D91" s="118">
        <f>D89/(2.4*1.2)/2</f>
        <v>2.1875</v>
      </c>
      <c r="E91" s="133">
        <v>32000</v>
      </c>
      <c r="F91" s="292">
        <f>D91*E91</f>
        <v>70000</v>
      </c>
    </row>
    <row r="92" spans="1:6" ht="19.399999999999999" customHeight="1">
      <c r="A92" s="204"/>
      <c r="B92" s="98" t="s">
        <v>86</v>
      </c>
      <c r="C92" s="23" t="s">
        <v>44</v>
      </c>
      <c r="D92" s="118">
        <f>D89*1.5</f>
        <v>18.899999999999999</v>
      </c>
      <c r="E92" s="133">
        <v>4000</v>
      </c>
      <c r="F92" s="292">
        <f>D92*E92</f>
        <v>75600</v>
      </c>
    </row>
    <row r="93" spans="1:6" ht="19.399999999999999" customHeight="1">
      <c r="A93" s="200"/>
      <c r="B93" s="98" t="s">
        <v>87</v>
      </c>
      <c r="C93" s="23" t="s">
        <v>88</v>
      </c>
      <c r="D93" s="118">
        <f>D89*0.25</f>
        <v>3.15</v>
      </c>
      <c r="E93" s="133">
        <f>1500/1.18</f>
        <v>1271.1864406779662</v>
      </c>
      <c r="F93" s="292">
        <f>D93*E93</f>
        <v>4004.2372881355932</v>
      </c>
    </row>
    <row r="94" spans="1:6" ht="19.399999999999999" customHeight="1">
      <c r="A94" s="200"/>
      <c r="B94" s="97" t="s">
        <v>89</v>
      </c>
      <c r="C94" s="28"/>
      <c r="D94" s="121"/>
      <c r="E94" s="135"/>
      <c r="F94" s="293">
        <f>SUM(F91:F93)</f>
        <v>149604.2372881356</v>
      </c>
    </row>
    <row r="95" spans="1:6" ht="19.399999999999999" customHeight="1">
      <c r="A95" s="200"/>
      <c r="B95" s="98"/>
      <c r="C95" s="23"/>
      <c r="D95" s="118"/>
      <c r="E95" s="133"/>
      <c r="F95" s="292"/>
    </row>
    <row r="96" spans="1:6" ht="19.399999999999999" customHeight="1">
      <c r="A96" s="201"/>
      <c r="B96" s="97" t="s">
        <v>6</v>
      </c>
      <c r="C96" s="23"/>
      <c r="D96" s="118"/>
      <c r="E96" s="133"/>
      <c r="F96" s="292"/>
    </row>
    <row r="97" spans="1:6" ht="19.399999999999999" customHeight="1">
      <c r="A97" s="201"/>
      <c r="B97" s="98" t="s">
        <v>90</v>
      </c>
      <c r="C97" s="23" t="s">
        <v>21</v>
      </c>
      <c r="D97" s="118">
        <f>D89/15</f>
        <v>0.84</v>
      </c>
      <c r="E97" s="133">
        <v>7016</v>
      </c>
      <c r="F97" s="292">
        <f>D97*E97</f>
        <v>5893.44</v>
      </c>
    </row>
    <row r="98" spans="1:6" ht="19.399999999999999" customHeight="1">
      <c r="A98" s="201"/>
      <c r="B98" s="98" t="s">
        <v>25</v>
      </c>
      <c r="C98" s="23" t="s">
        <v>21</v>
      </c>
      <c r="D98" s="118">
        <f>D97*2</f>
        <v>1.68</v>
      </c>
      <c r="E98" s="133">
        <v>4000</v>
      </c>
      <c r="F98" s="292">
        <f>D98*E98</f>
        <v>6720</v>
      </c>
    </row>
    <row r="99" spans="1:6" ht="19.399999999999999" customHeight="1">
      <c r="A99" s="204"/>
      <c r="B99" s="97" t="s">
        <v>91</v>
      </c>
      <c r="C99" s="28"/>
      <c r="D99" s="122"/>
      <c r="E99" s="135"/>
      <c r="F99" s="293">
        <f>SUM(F97:F98)</f>
        <v>12613.439999999999</v>
      </c>
    </row>
    <row r="100" spans="1:6" ht="19.399999999999999" customHeight="1">
      <c r="A100" s="199">
        <v>4.03</v>
      </c>
      <c r="B100" s="99" t="s">
        <v>95</v>
      </c>
      <c r="C100" s="69" t="s">
        <v>36</v>
      </c>
      <c r="D100" s="125">
        <f>((3.1*0.3)*4)*10</f>
        <v>37.199999999999996</v>
      </c>
      <c r="E100" s="138">
        <f>F100/D100</f>
        <v>12874.418832391713</v>
      </c>
      <c r="F100" s="294">
        <f>F105+F110</f>
        <v>478928.38056497171</v>
      </c>
    </row>
    <row r="101" spans="1:6" ht="19.399999999999999" customHeight="1">
      <c r="A101" s="204"/>
      <c r="B101" s="97" t="s">
        <v>2</v>
      </c>
      <c r="C101" s="23"/>
      <c r="D101" s="114"/>
      <c r="E101" s="133"/>
      <c r="F101" s="292"/>
    </row>
    <row r="102" spans="1:6" ht="19.399999999999999" customHeight="1">
      <c r="A102" s="204"/>
      <c r="B102" s="98" t="s">
        <v>84</v>
      </c>
      <c r="C102" s="23" t="s">
        <v>85</v>
      </c>
      <c r="D102" s="118">
        <f>D100/(2.4*1.2)/2</f>
        <v>6.458333333333333</v>
      </c>
      <c r="E102" s="133">
        <v>32000</v>
      </c>
      <c r="F102" s="292">
        <f>D102*E102</f>
        <v>206666.66666666666</v>
      </c>
    </row>
    <row r="103" spans="1:6" ht="19.399999999999999" customHeight="1">
      <c r="A103" s="204"/>
      <c r="B103" s="98" t="s">
        <v>86</v>
      </c>
      <c r="C103" s="23" t="s">
        <v>44</v>
      </c>
      <c r="D103" s="118">
        <f>D100*1.5</f>
        <v>55.8</v>
      </c>
      <c r="E103" s="133">
        <v>4000</v>
      </c>
      <c r="F103" s="292">
        <f>D103*E103</f>
        <v>223200</v>
      </c>
    </row>
    <row r="104" spans="1:6" ht="19.399999999999999" customHeight="1">
      <c r="A104" s="200"/>
      <c r="B104" s="98" t="s">
        <v>87</v>
      </c>
      <c r="C104" s="23" t="s">
        <v>88</v>
      </c>
      <c r="D104" s="118">
        <f>D100*0.25</f>
        <v>9.2999999999999989</v>
      </c>
      <c r="E104" s="133">
        <f>1500/1.18</f>
        <v>1271.1864406779662</v>
      </c>
      <c r="F104" s="292">
        <f>D104*E104</f>
        <v>11822.033898305084</v>
      </c>
    </row>
    <row r="105" spans="1:6" s="64" customFormat="1" ht="19.399999999999999" customHeight="1">
      <c r="A105" s="200"/>
      <c r="B105" s="97" t="s">
        <v>89</v>
      </c>
      <c r="C105" s="28"/>
      <c r="D105" s="121"/>
      <c r="E105" s="135"/>
      <c r="F105" s="293">
        <f>SUM(F102:F104)</f>
        <v>441688.70056497172</v>
      </c>
    </row>
    <row r="106" spans="1:6" ht="19.399999999999999" customHeight="1">
      <c r="A106" s="200"/>
      <c r="B106" s="98"/>
      <c r="C106" s="23"/>
      <c r="D106" s="118"/>
      <c r="E106" s="133"/>
      <c r="F106" s="292"/>
    </row>
    <row r="107" spans="1:6" ht="19.399999999999999" customHeight="1">
      <c r="A107" s="201"/>
      <c r="B107" s="97" t="s">
        <v>6</v>
      </c>
      <c r="C107" s="23"/>
      <c r="D107" s="118"/>
      <c r="E107" s="133"/>
      <c r="F107" s="292"/>
    </row>
    <row r="108" spans="1:6" ht="19.399999999999999" customHeight="1">
      <c r="A108" s="201"/>
      <c r="B108" s="98" t="s">
        <v>90</v>
      </c>
      <c r="C108" s="23" t="s">
        <v>21</v>
      </c>
      <c r="D108" s="118">
        <f>D100/15</f>
        <v>2.4799999999999995</v>
      </c>
      <c r="E108" s="133">
        <v>7016</v>
      </c>
      <c r="F108" s="292">
        <f>D108*E108</f>
        <v>17399.679999999997</v>
      </c>
    </row>
    <row r="109" spans="1:6" s="58" customFormat="1" ht="19.399999999999999" customHeight="1">
      <c r="A109" s="201"/>
      <c r="B109" s="98" t="s">
        <v>25</v>
      </c>
      <c r="C109" s="23" t="s">
        <v>21</v>
      </c>
      <c r="D109" s="118">
        <f>D108*2</f>
        <v>4.9599999999999991</v>
      </c>
      <c r="E109" s="133">
        <v>4000</v>
      </c>
      <c r="F109" s="292">
        <f>D109*E109</f>
        <v>19839.999999999996</v>
      </c>
    </row>
    <row r="110" spans="1:6" ht="19.399999999999999" customHeight="1">
      <c r="A110" s="204"/>
      <c r="B110" s="11" t="s">
        <v>9</v>
      </c>
      <c r="C110" s="28"/>
      <c r="D110" s="122"/>
      <c r="E110" s="135"/>
      <c r="F110" s="293">
        <f>SUM(F108:F109)</f>
        <v>37239.679999999993</v>
      </c>
    </row>
    <row r="111" spans="1:6" ht="19.399999999999999" customHeight="1">
      <c r="A111" s="204"/>
      <c r="B111" s="11"/>
      <c r="C111" s="28"/>
      <c r="D111" s="122"/>
      <c r="E111" s="135"/>
      <c r="F111" s="293"/>
    </row>
    <row r="112" spans="1:6" ht="19.399999999999999" customHeight="1">
      <c r="A112" s="205">
        <v>5</v>
      </c>
      <c r="B112" s="100" t="s">
        <v>105</v>
      </c>
      <c r="C112" s="69" t="s">
        <v>88</v>
      </c>
      <c r="D112" s="125">
        <v>361.34</v>
      </c>
      <c r="E112" s="138">
        <f>F112/D112</f>
        <v>1573.0956685499059</v>
      </c>
      <c r="F112" s="294">
        <f>F117+F122</f>
        <v>568422.38887382299</v>
      </c>
    </row>
    <row r="113" spans="1:6" ht="19.399999999999999" customHeight="1">
      <c r="A113" s="204"/>
      <c r="B113" s="97" t="s">
        <v>2</v>
      </c>
      <c r="C113" s="23"/>
      <c r="D113" s="114"/>
      <c r="E113" s="133"/>
      <c r="F113" s="292"/>
    </row>
    <row r="114" spans="1:6" s="59" customFormat="1" ht="19.399999999999999" customHeight="1">
      <c r="A114" s="204"/>
      <c r="B114" s="98" t="s">
        <v>106</v>
      </c>
      <c r="C114" s="23" t="s">
        <v>88</v>
      </c>
      <c r="D114" s="118">
        <f>D112*1.1</f>
        <v>397.47399999999999</v>
      </c>
      <c r="E114" s="133">
        <f>1300/1.18</f>
        <v>1101.6949152542375</v>
      </c>
      <c r="F114" s="292">
        <f>D114*E114</f>
        <v>437895.08474576275</v>
      </c>
    </row>
    <row r="115" spans="1:6" ht="19.399999999999999" customHeight="1">
      <c r="A115" s="204"/>
      <c r="B115" s="98" t="s">
        <v>107</v>
      </c>
      <c r="C115" s="23" t="s">
        <v>88</v>
      </c>
      <c r="D115" s="118">
        <f>D112*2.5%</f>
        <v>9.0335000000000001</v>
      </c>
      <c r="E115" s="133">
        <f>1300/1.18</f>
        <v>1101.6949152542375</v>
      </c>
      <c r="F115" s="292">
        <f>D115*E115</f>
        <v>9952.1610169491541</v>
      </c>
    </row>
    <row r="116" spans="1:6" s="64" customFormat="1" ht="19.399999999999999" customHeight="1">
      <c r="A116" s="204"/>
      <c r="B116" s="98"/>
      <c r="C116" s="23"/>
      <c r="D116" s="118"/>
      <c r="E116" s="133"/>
      <c r="F116" s="292"/>
    </row>
    <row r="117" spans="1:6" ht="19.399999999999999" customHeight="1">
      <c r="A117" s="168"/>
      <c r="B117" s="97" t="s">
        <v>108</v>
      </c>
      <c r="C117" s="28"/>
      <c r="D117" s="121"/>
      <c r="E117" s="135"/>
      <c r="F117" s="293">
        <f>SUM(F114:F116)</f>
        <v>447847.24576271191</v>
      </c>
    </row>
    <row r="118" spans="1:6" ht="19.399999999999999" customHeight="1">
      <c r="A118" s="204"/>
      <c r="B118" s="98"/>
      <c r="C118" s="23"/>
      <c r="D118" s="118"/>
      <c r="E118" s="133"/>
      <c r="F118" s="292"/>
    </row>
    <row r="119" spans="1:6" ht="19.399999999999999" customHeight="1">
      <c r="A119" s="204"/>
      <c r="B119" s="97" t="s">
        <v>6</v>
      </c>
      <c r="C119" s="23"/>
      <c r="D119" s="118"/>
      <c r="E119" s="133"/>
      <c r="F119" s="292"/>
    </row>
    <row r="120" spans="1:6" ht="19.399999999999999" customHeight="1">
      <c r="A120" s="204"/>
      <c r="B120" s="98" t="s">
        <v>109</v>
      </c>
      <c r="C120" s="23" t="s">
        <v>8</v>
      </c>
      <c r="D120" s="118">
        <f>D112/45</f>
        <v>8.0297777777777775</v>
      </c>
      <c r="E120" s="133">
        <v>7016</v>
      </c>
      <c r="F120" s="292">
        <f>D120*E120</f>
        <v>56336.92088888889</v>
      </c>
    </row>
    <row r="121" spans="1:6" s="59" customFormat="1" ht="19.399999999999999" customHeight="1">
      <c r="A121" s="204"/>
      <c r="B121" s="98" t="s">
        <v>110</v>
      </c>
      <c r="C121" s="23" t="s">
        <v>8</v>
      </c>
      <c r="D121" s="118">
        <f>D120*2</f>
        <v>16.059555555555555</v>
      </c>
      <c r="E121" s="133">
        <v>4000</v>
      </c>
      <c r="F121" s="292">
        <f>D121*E121</f>
        <v>64238.222222222219</v>
      </c>
    </row>
    <row r="122" spans="1:6" ht="19.399999999999999" customHeight="1">
      <c r="A122" s="168"/>
      <c r="B122" s="97" t="s">
        <v>111</v>
      </c>
      <c r="C122" s="28"/>
      <c r="D122" s="122"/>
      <c r="E122" s="135"/>
      <c r="F122" s="293">
        <f>F120+F121</f>
        <v>120575.1431111111</v>
      </c>
    </row>
    <row r="123" spans="1:6" ht="19.399999999999999" customHeight="1">
      <c r="A123" s="168"/>
      <c r="B123" s="97"/>
      <c r="C123" s="28"/>
      <c r="D123" s="122"/>
      <c r="E123" s="135"/>
      <c r="F123" s="293"/>
    </row>
    <row r="124" spans="1:6" ht="19.399999999999999" customHeight="1">
      <c r="A124" s="170">
        <v>6</v>
      </c>
      <c r="B124" s="486" t="s">
        <v>101</v>
      </c>
      <c r="C124" s="486"/>
      <c r="D124" s="486"/>
      <c r="E124" s="486"/>
      <c r="F124" s="487"/>
    </row>
    <row r="125" spans="1:6" ht="19.399999999999999" customHeight="1">
      <c r="A125" s="199">
        <v>6.01</v>
      </c>
      <c r="B125" s="99" t="s">
        <v>102</v>
      </c>
      <c r="C125" s="69" t="s">
        <v>10</v>
      </c>
      <c r="D125" s="125">
        <f>(0.7*0.7*0.15)*10</f>
        <v>0.73499999999999988</v>
      </c>
      <c r="E125" s="138">
        <f>F125/D125</f>
        <v>118514.68</v>
      </c>
      <c r="F125" s="294">
        <f>F128+F135+F132</f>
        <v>87108.289799999984</v>
      </c>
    </row>
    <row r="126" spans="1:6" s="59" customFormat="1" ht="19.399999999999999" customHeight="1">
      <c r="A126" s="206"/>
      <c r="B126" s="101" t="s">
        <v>2</v>
      </c>
      <c r="C126" s="56"/>
      <c r="D126" s="123"/>
      <c r="E126" s="136"/>
      <c r="F126" s="295"/>
    </row>
    <row r="127" spans="1:6" ht="19.399999999999999" customHeight="1">
      <c r="A127" s="206"/>
      <c r="B127" s="102" t="s">
        <v>99</v>
      </c>
      <c r="C127" s="56" t="s">
        <v>28</v>
      </c>
      <c r="D127" s="137">
        <f>D125*1.1</f>
        <v>0.80849999999999989</v>
      </c>
      <c r="E127" s="136">
        <v>100000</v>
      </c>
      <c r="F127" s="295">
        <f>D127*E127</f>
        <v>80849.999999999985</v>
      </c>
    </row>
    <row r="128" spans="1:6" ht="19.399999999999999" customHeight="1">
      <c r="A128" s="207"/>
      <c r="B128" s="101" t="s">
        <v>100</v>
      </c>
      <c r="C128" s="57"/>
      <c r="D128" s="124"/>
      <c r="E128" s="262"/>
      <c r="F128" s="296">
        <f>F127</f>
        <v>80849.999999999985</v>
      </c>
    </row>
    <row r="129" spans="1:6" s="64" customFormat="1" ht="19.399999999999999" customHeight="1">
      <c r="A129" s="207"/>
      <c r="B129" s="101"/>
      <c r="C129" s="57"/>
      <c r="D129" s="124"/>
      <c r="E129" s="262"/>
      <c r="F129" s="296"/>
    </row>
    <row r="130" spans="1:6" ht="19.399999999999999" customHeight="1">
      <c r="A130" s="204"/>
      <c r="B130" s="97" t="s">
        <v>19</v>
      </c>
      <c r="C130" s="23"/>
      <c r="D130" s="118"/>
      <c r="E130" s="133"/>
      <c r="F130" s="292"/>
    </row>
    <row r="131" spans="1:6" ht="19.399999999999999" customHeight="1">
      <c r="A131" s="204"/>
      <c r="B131" s="98" t="s">
        <v>22</v>
      </c>
      <c r="C131" s="23" t="s">
        <v>21</v>
      </c>
      <c r="D131" s="118">
        <f>D125/6</f>
        <v>0.12249999999999998</v>
      </c>
      <c r="E131" s="133">
        <v>15000</v>
      </c>
      <c r="F131" s="292">
        <f>D131*E131</f>
        <v>1837.4999999999998</v>
      </c>
    </row>
    <row r="132" spans="1:6" ht="19.399999999999999" customHeight="1">
      <c r="A132" s="168"/>
      <c r="B132" s="97" t="s">
        <v>112</v>
      </c>
      <c r="C132" s="28"/>
      <c r="D132" s="121"/>
      <c r="E132" s="135"/>
      <c r="F132" s="293">
        <f>SUM(F131:F131)</f>
        <v>1837.4999999999998</v>
      </c>
    </row>
    <row r="133" spans="1:6" ht="19.399999999999999" customHeight="1">
      <c r="A133" s="168"/>
      <c r="B133" s="97"/>
      <c r="C133" s="28"/>
      <c r="D133" s="121"/>
      <c r="E133" s="135"/>
      <c r="F133" s="293"/>
    </row>
    <row r="134" spans="1:6" ht="19.399999999999999" customHeight="1">
      <c r="A134" s="206"/>
      <c r="B134" s="102" t="s">
        <v>26</v>
      </c>
      <c r="C134" s="56" t="s">
        <v>21</v>
      </c>
      <c r="D134" s="137">
        <f>D131</f>
        <v>0.12249999999999998</v>
      </c>
      <c r="E134" s="136">
        <v>6088.08</v>
      </c>
      <c r="F134" s="295">
        <f>D134*E134</f>
        <v>745.7897999999999</v>
      </c>
    </row>
    <row r="135" spans="1:6" ht="19.399999999999999" customHeight="1">
      <c r="A135" s="207"/>
      <c r="B135" s="101" t="s">
        <v>113</v>
      </c>
      <c r="C135" s="57"/>
      <c r="D135" s="124"/>
      <c r="E135" s="262"/>
      <c r="F135" s="296">
        <f>SUM(F131:F134)</f>
        <v>4420.7897999999996</v>
      </c>
    </row>
    <row r="136" spans="1:6" ht="19.399999999999999" customHeight="1">
      <c r="A136" s="199">
        <v>6.02</v>
      </c>
      <c r="B136" s="99" t="s">
        <v>103</v>
      </c>
      <c r="C136" s="69" t="s">
        <v>10</v>
      </c>
      <c r="D136" s="125">
        <f>(1*0.25*0.25)*10</f>
        <v>0.625</v>
      </c>
      <c r="E136" s="138">
        <f>F136/D136</f>
        <v>111668.87727999999</v>
      </c>
      <c r="F136" s="294">
        <f>F139+F146+F143</f>
        <v>69793.048299999995</v>
      </c>
    </row>
    <row r="137" spans="1:6" ht="19.399999999999999" customHeight="1">
      <c r="A137" s="206"/>
      <c r="B137" s="101" t="s">
        <v>2</v>
      </c>
      <c r="C137" s="56"/>
      <c r="D137" s="123"/>
      <c r="E137" s="136"/>
      <c r="F137" s="295"/>
    </row>
    <row r="138" spans="1:6" s="59" customFormat="1" ht="19.399999999999999" customHeight="1">
      <c r="A138" s="206"/>
      <c r="B138" s="102" t="s">
        <v>99</v>
      </c>
      <c r="C138" s="56" t="s">
        <v>28</v>
      </c>
      <c r="D138" s="137">
        <f>D136*1.1</f>
        <v>0.6875</v>
      </c>
      <c r="E138" s="136">
        <v>100000</v>
      </c>
      <c r="F138" s="295">
        <f>D138*E138</f>
        <v>68750</v>
      </c>
    </row>
    <row r="139" spans="1:6" ht="19.399999999999999" customHeight="1">
      <c r="A139" s="207"/>
      <c r="B139" s="101" t="s">
        <v>100</v>
      </c>
      <c r="C139" s="57"/>
      <c r="D139" s="124"/>
      <c r="E139" s="262"/>
      <c r="F139" s="296">
        <f>F138</f>
        <v>68750</v>
      </c>
    </row>
    <row r="140" spans="1:6" ht="19.399999999999999" customHeight="1">
      <c r="A140" s="207"/>
      <c r="B140" s="101"/>
      <c r="C140" s="57"/>
      <c r="D140" s="124"/>
      <c r="E140" s="262"/>
      <c r="F140" s="296"/>
    </row>
    <row r="141" spans="1:6" ht="19.399999999999999" customHeight="1">
      <c r="A141" s="204"/>
      <c r="B141" s="97" t="s">
        <v>19</v>
      </c>
      <c r="C141" s="23"/>
      <c r="D141" s="118"/>
      <c r="E141" s="133"/>
      <c r="F141" s="292"/>
    </row>
    <row r="142" spans="1:6" ht="19.399999999999999" customHeight="1">
      <c r="A142" s="204"/>
      <c r="B142" s="98" t="s">
        <v>22</v>
      </c>
      <c r="C142" s="23" t="s">
        <v>21</v>
      </c>
      <c r="D142" s="251">
        <f>D134/6</f>
        <v>2.0416666666666663E-2</v>
      </c>
      <c r="E142" s="133">
        <v>15000</v>
      </c>
      <c r="F142" s="292">
        <f>D142*E142</f>
        <v>306.24999999999994</v>
      </c>
    </row>
    <row r="143" spans="1:6" s="59" customFormat="1" ht="19.399999999999999" customHeight="1">
      <c r="A143" s="168"/>
      <c r="B143" s="97" t="s">
        <v>112</v>
      </c>
      <c r="C143" s="28"/>
      <c r="D143" s="121"/>
      <c r="E143" s="135"/>
      <c r="F143" s="293">
        <f>SUM(F142:F142)</f>
        <v>306.24999999999994</v>
      </c>
    </row>
    <row r="144" spans="1:6" ht="19.399999999999999" customHeight="1">
      <c r="A144" s="168"/>
      <c r="B144" s="97"/>
      <c r="C144" s="28"/>
      <c r="D144" s="121"/>
      <c r="E144" s="135"/>
      <c r="F144" s="293"/>
    </row>
    <row r="145" spans="1:6" ht="19.399999999999999" customHeight="1">
      <c r="A145" s="206"/>
      <c r="B145" s="102" t="s">
        <v>26</v>
      </c>
      <c r="C145" s="56" t="s">
        <v>21</v>
      </c>
      <c r="D145" s="252">
        <f>D142</f>
        <v>2.0416666666666663E-2</v>
      </c>
      <c r="E145" s="136">
        <v>6088.08</v>
      </c>
      <c r="F145" s="295">
        <f>D145*E145</f>
        <v>124.29829999999997</v>
      </c>
    </row>
    <row r="146" spans="1:6" ht="19.399999999999999" customHeight="1">
      <c r="A146" s="207"/>
      <c r="B146" s="101" t="s">
        <v>113</v>
      </c>
      <c r="C146" s="57"/>
      <c r="D146" s="124"/>
      <c r="E146" s="262"/>
      <c r="F146" s="296">
        <f>SUM(F142:F145)</f>
        <v>736.79829999999981</v>
      </c>
    </row>
    <row r="147" spans="1:6" s="66" customFormat="1" ht="19.399999999999999" customHeight="1">
      <c r="A147" s="199">
        <v>6.03</v>
      </c>
      <c r="B147" s="99" t="s">
        <v>104</v>
      </c>
      <c r="C147" s="69" t="s">
        <v>10</v>
      </c>
      <c r="D147" s="125">
        <f>(3*0.25*0.25)*10</f>
        <v>1.875</v>
      </c>
      <c r="E147" s="138">
        <f>F147/D147</f>
        <v>118514.68</v>
      </c>
      <c r="F147" s="294">
        <f>F150+F157+F154</f>
        <v>222215.02499999999</v>
      </c>
    </row>
    <row r="148" spans="1:6" ht="19.399999999999999" customHeight="1">
      <c r="A148" s="206"/>
      <c r="B148" s="101" t="s">
        <v>2</v>
      </c>
      <c r="C148" s="56"/>
      <c r="D148" s="147"/>
      <c r="E148" s="136"/>
      <c r="F148" s="295"/>
    </row>
    <row r="149" spans="1:6" ht="19.399999999999999" customHeight="1">
      <c r="A149" s="206"/>
      <c r="B149" s="102" t="s">
        <v>99</v>
      </c>
      <c r="C149" s="56" t="s">
        <v>28</v>
      </c>
      <c r="D149" s="137">
        <f>D147*1.1</f>
        <v>2.0625</v>
      </c>
      <c r="E149" s="136">
        <v>100000</v>
      </c>
      <c r="F149" s="295">
        <f>D149*E149</f>
        <v>206250</v>
      </c>
    </row>
    <row r="150" spans="1:6" ht="19.399999999999999" customHeight="1">
      <c r="A150" s="207"/>
      <c r="B150" s="101" t="s">
        <v>100</v>
      </c>
      <c r="C150" s="57"/>
      <c r="D150" s="124"/>
      <c r="E150" s="262"/>
      <c r="F150" s="296">
        <f>F149</f>
        <v>206250</v>
      </c>
    </row>
    <row r="151" spans="1:6" ht="19.399999999999999" customHeight="1">
      <c r="A151" s="207"/>
      <c r="B151" s="101"/>
      <c r="C151" s="57"/>
      <c r="D151" s="124"/>
      <c r="E151" s="262"/>
      <c r="F151" s="296"/>
    </row>
    <row r="152" spans="1:6" ht="19.399999999999999" customHeight="1">
      <c r="A152" s="204"/>
      <c r="B152" s="97" t="s">
        <v>19</v>
      </c>
      <c r="C152" s="23"/>
      <c r="D152" s="118"/>
      <c r="E152" s="133"/>
      <c r="F152" s="292"/>
    </row>
    <row r="153" spans="1:6" ht="19.399999999999999" customHeight="1">
      <c r="A153" s="204"/>
      <c r="B153" s="98" t="s">
        <v>22</v>
      </c>
      <c r="C153" s="23" t="s">
        <v>21</v>
      </c>
      <c r="D153" s="118">
        <f>D147/6</f>
        <v>0.3125</v>
      </c>
      <c r="E153" s="133">
        <v>15000</v>
      </c>
      <c r="F153" s="292">
        <f>D153*E153</f>
        <v>4687.5</v>
      </c>
    </row>
    <row r="154" spans="1:6" s="59" customFormat="1" ht="19.399999999999999" customHeight="1">
      <c r="A154" s="168"/>
      <c r="B154" s="97" t="s">
        <v>112</v>
      </c>
      <c r="C154" s="28"/>
      <c r="D154" s="121"/>
      <c r="E154" s="135"/>
      <c r="F154" s="293">
        <f>SUM(F153:F153)</f>
        <v>4687.5</v>
      </c>
    </row>
    <row r="155" spans="1:6" ht="19.399999999999999" customHeight="1">
      <c r="A155" s="168"/>
      <c r="B155" s="97"/>
      <c r="C155" s="28"/>
      <c r="D155" s="121"/>
      <c r="E155" s="135"/>
      <c r="F155" s="293"/>
    </row>
    <row r="156" spans="1:6" ht="19.399999999999999" customHeight="1">
      <c r="A156" s="206"/>
      <c r="B156" s="102" t="s">
        <v>26</v>
      </c>
      <c r="C156" s="56" t="s">
        <v>21</v>
      </c>
      <c r="D156" s="137">
        <f>D153</f>
        <v>0.3125</v>
      </c>
      <c r="E156" s="136">
        <v>6088.08</v>
      </c>
      <c r="F156" s="295">
        <f>D156*E156</f>
        <v>1902.5250000000001</v>
      </c>
    </row>
    <row r="157" spans="1:6" ht="19.399999999999999" customHeight="1">
      <c r="A157" s="207"/>
      <c r="B157" s="101" t="s">
        <v>113</v>
      </c>
      <c r="C157" s="57"/>
      <c r="D157" s="124"/>
      <c r="E157" s="262"/>
      <c r="F157" s="296">
        <f>SUM(F153:F156)</f>
        <v>11277.525</v>
      </c>
    </row>
    <row r="158" spans="1:6" ht="19.399999999999999" customHeight="1">
      <c r="A158" s="207"/>
      <c r="B158" s="101"/>
      <c r="C158" s="57"/>
      <c r="D158" s="124"/>
      <c r="E158" s="262"/>
      <c r="F158" s="296"/>
    </row>
    <row r="159" spans="1:6" s="63" customFormat="1" ht="19.399999999999999" customHeight="1">
      <c r="A159" s="170">
        <v>7</v>
      </c>
      <c r="B159" s="482" t="s">
        <v>73</v>
      </c>
      <c r="C159" s="482"/>
      <c r="D159" s="482"/>
      <c r="E159" s="482"/>
      <c r="F159" s="483"/>
    </row>
    <row r="160" spans="1:6" s="59" customFormat="1" ht="19.399999999999999" customHeight="1">
      <c r="A160" s="202">
        <v>7.01</v>
      </c>
      <c r="B160" s="16" t="s">
        <v>71</v>
      </c>
      <c r="C160" s="3" t="s">
        <v>28</v>
      </c>
      <c r="D160" s="117">
        <f>0.4*0.8*44</f>
        <v>14.080000000000002</v>
      </c>
      <c r="E160" s="134">
        <f>SUM(F160)/D160</f>
        <v>66244.523921568631</v>
      </c>
      <c r="F160" s="160">
        <f>F165+F170</f>
        <v>932722.89681568649</v>
      </c>
    </row>
    <row r="161" spans="1:6" ht="19.399999999999999" customHeight="1">
      <c r="A161" s="201"/>
      <c r="B161" s="8" t="s">
        <v>29</v>
      </c>
      <c r="C161" s="9"/>
      <c r="D161" s="213"/>
      <c r="E161" s="133"/>
      <c r="F161" s="155"/>
    </row>
    <row r="162" spans="1:6" ht="19.399999999999999" customHeight="1">
      <c r="A162" s="201"/>
      <c r="B162" s="13" t="s">
        <v>30</v>
      </c>
      <c r="C162" s="9" t="s">
        <v>28</v>
      </c>
      <c r="D162" s="133">
        <f>D160*(10/17)*1.57</f>
        <v>13.00329411764706</v>
      </c>
      <c r="E162" s="133">
        <v>12000</v>
      </c>
      <c r="F162" s="155">
        <f>+D162*E162</f>
        <v>156039.52941176473</v>
      </c>
    </row>
    <row r="163" spans="1:6" ht="19.399999999999999" customHeight="1">
      <c r="A163" s="201"/>
      <c r="B163" s="13" t="s">
        <v>11</v>
      </c>
      <c r="C163" s="9" t="s">
        <v>31</v>
      </c>
      <c r="D163" s="118">
        <f>D160*(1/17)*1.57*(1440/50)</f>
        <v>37.449487058823536</v>
      </c>
      <c r="E163" s="133">
        <v>12000</v>
      </c>
      <c r="F163" s="155">
        <f>E163*D163</f>
        <v>449393.84470588242</v>
      </c>
    </row>
    <row r="164" spans="1:6" ht="19.399999999999999" customHeight="1">
      <c r="A164" s="201"/>
      <c r="B164" s="13" t="s">
        <v>32</v>
      </c>
      <c r="C164" s="9" t="s">
        <v>28</v>
      </c>
      <c r="D164" s="118">
        <f>D160*(6/17)*1.57</f>
        <v>7.8019764705882375</v>
      </c>
      <c r="E164" s="133">
        <v>25000</v>
      </c>
      <c r="F164" s="155">
        <f>E164*D164</f>
        <v>195049.41176470593</v>
      </c>
    </row>
    <row r="165" spans="1:6" s="64" customFormat="1" ht="19.399999999999999" customHeight="1">
      <c r="A165" s="201"/>
      <c r="B165" s="8" t="s">
        <v>5</v>
      </c>
      <c r="C165" s="9"/>
      <c r="D165" s="133"/>
      <c r="E165" s="133"/>
      <c r="F165" s="162">
        <f>F162+F163+F164</f>
        <v>800482.78588235308</v>
      </c>
    </row>
    <row r="166" spans="1:6" ht="19.399999999999999" customHeight="1">
      <c r="A166" s="201"/>
      <c r="B166" s="13"/>
      <c r="C166" s="9"/>
      <c r="D166" s="133"/>
      <c r="E166" s="133"/>
      <c r="F166" s="155"/>
    </row>
    <row r="167" spans="1:6" ht="19.399999999999999" customHeight="1">
      <c r="A167" s="200"/>
      <c r="B167" s="8" t="s">
        <v>33</v>
      </c>
      <c r="C167" s="9"/>
      <c r="D167" s="133"/>
      <c r="E167" s="133"/>
      <c r="F167" s="155"/>
    </row>
    <row r="168" spans="1:6" ht="19.399999999999999" customHeight="1">
      <c r="A168" s="200"/>
      <c r="B168" s="13" t="s">
        <v>34</v>
      </c>
      <c r="C168" s="9" t="s">
        <v>21</v>
      </c>
      <c r="D168" s="133">
        <f>D160/1.5</f>
        <v>9.3866666666666685</v>
      </c>
      <c r="E168" s="133">
        <v>6088.08</v>
      </c>
      <c r="F168" s="155">
        <f>+D168*E168</f>
        <v>57146.777600000009</v>
      </c>
    </row>
    <row r="169" spans="1:6" ht="19.399999999999999" customHeight="1">
      <c r="A169" s="200"/>
      <c r="B169" s="13" t="s">
        <v>7</v>
      </c>
      <c r="C169" s="9" t="s">
        <v>21</v>
      </c>
      <c r="D169" s="133">
        <f>+D168*2</f>
        <v>18.773333333333337</v>
      </c>
      <c r="E169" s="133">
        <v>4000</v>
      </c>
      <c r="F169" s="155">
        <f>+D169*E169</f>
        <v>75093.333333333343</v>
      </c>
    </row>
    <row r="170" spans="1:6" ht="19.399999999999999" customHeight="1">
      <c r="A170" s="168"/>
      <c r="B170" s="97" t="s">
        <v>9</v>
      </c>
      <c r="C170" s="28"/>
      <c r="D170" s="121"/>
      <c r="E170" s="135"/>
      <c r="F170" s="293">
        <f>SUM(F168:F169)</f>
        <v>132240.11093333334</v>
      </c>
    </row>
    <row r="171" spans="1:6" ht="19.399999999999999" customHeight="1">
      <c r="A171" s="199">
        <v>8.01</v>
      </c>
      <c r="B171" s="16" t="s">
        <v>35</v>
      </c>
      <c r="C171" s="35" t="s">
        <v>36</v>
      </c>
      <c r="D171" s="125">
        <f>44*0.25</f>
        <v>11</v>
      </c>
      <c r="E171" s="138">
        <f>SUM(F171)/D171</f>
        <v>1882.5152542372882</v>
      </c>
      <c r="F171" s="153">
        <f>F174+F179</f>
        <v>20707.667796610171</v>
      </c>
    </row>
    <row r="172" spans="1:6" ht="19.399999999999999" customHeight="1">
      <c r="A172" s="201"/>
      <c r="B172" s="8" t="s">
        <v>29</v>
      </c>
      <c r="C172" s="9"/>
      <c r="D172" s="133"/>
      <c r="E172" s="133"/>
      <c r="F172" s="155"/>
    </row>
    <row r="173" spans="1:6" ht="19.399999999999999" customHeight="1">
      <c r="A173" s="200"/>
      <c r="B173" s="13" t="s">
        <v>37</v>
      </c>
      <c r="C173" s="9" t="s">
        <v>38</v>
      </c>
      <c r="D173" s="133">
        <f>D171</f>
        <v>11</v>
      </c>
      <c r="E173" s="133">
        <f>2000/1.18</f>
        <v>1694.9152542372883</v>
      </c>
      <c r="F173" s="155">
        <f>+D173*E173</f>
        <v>18644.067796610172</v>
      </c>
    </row>
    <row r="174" spans="1:6" ht="19.399999999999999" customHeight="1">
      <c r="A174" s="170"/>
      <c r="B174" s="8" t="s">
        <v>5</v>
      </c>
      <c r="C174" s="12"/>
      <c r="D174" s="135"/>
      <c r="E174" s="135"/>
      <c r="F174" s="162">
        <f>F173</f>
        <v>18644.067796610172</v>
      </c>
    </row>
    <row r="175" spans="1:6" s="59" customFormat="1" ht="19.399999999999999" customHeight="1">
      <c r="A175" s="200"/>
      <c r="B175" s="13"/>
      <c r="C175" s="9"/>
      <c r="D175" s="133"/>
      <c r="E175" s="133"/>
      <c r="F175" s="155"/>
    </row>
    <row r="176" spans="1:6" ht="19.399999999999999" customHeight="1">
      <c r="A176" s="235"/>
      <c r="B176" s="8" t="s">
        <v>33</v>
      </c>
      <c r="C176" s="9"/>
      <c r="D176" s="133"/>
      <c r="E176" s="133"/>
      <c r="F176" s="155"/>
    </row>
    <row r="177" spans="1:6" ht="19.399999999999999" customHeight="1">
      <c r="A177" s="200"/>
      <c r="B177" s="13" t="s">
        <v>34</v>
      </c>
      <c r="C177" s="9" t="s">
        <v>21</v>
      </c>
      <c r="D177" s="118">
        <f>D171/100</f>
        <v>0.11</v>
      </c>
      <c r="E177" s="133">
        <v>10760</v>
      </c>
      <c r="F177" s="155">
        <f>+D177*E177</f>
        <v>1183.5999999999999</v>
      </c>
    </row>
    <row r="178" spans="1:6" ht="19.399999999999999" customHeight="1">
      <c r="A178" s="200"/>
      <c r="B178" s="13" t="s">
        <v>7</v>
      </c>
      <c r="C178" s="9" t="s">
        <v>21</v>
      </c>
      <c r="D178" s="118">
        <f>+D177*2</f>
        <v>0.22</v>
      </c>
      <c r="E178" s="133">
        <v>4000</v>
      </c>
      <c r="F178" s="155">
        <f>+D178*E178</f>
        <v>880</v>
      </c>
    </row>
    <row r="179" spans="1:6" ht="19.399999999999999" customHeight="1">
      <c r="A179" s="170"/>
      <c r="B179" s="8" t="s">
        <v>39</v>
      </c>
      <c r="C179" s="12"/>
      <c r="D179" s="135"/>
      <c r="E179" s="135"/>
      <c r="F179" s="162">
        <f>SUM(F177:F178)</f>
        <v>2063.6</v>
      </c>
    </row>
    <row r="180" spans="1:6" ht="19.399999999999999" customHeight="1">
      <c r="A180" s="170"/>
      <c r="B180" s="8"/>
      <c r="C180" s="12"/>
      <c r="D180" s="135"/>
      <c r="E180" s="135"/>
      <c r="F180" s="162"/>
    </row>
    <row r="181" spans="1:6" s="90" customFormat="1" ht="19.399999999999999" customHeight="1">
      <c r="A181" s="168">
        <v>9</v>
      </c>
      <c r="B181" s="484" t="s">
        <v>72</v>
      </c>
      <c r="C181" s="484"/>
      <c r="D181" s="484"/>
      <c r="E181" s="484"/>
      <c r="F181" s="485"/>
    </row>
    <row r="182" spans="1:6" s="59" customFormat="1" ht="19.399999999999999" customHeight="1">
      <c r="A182" s="199">
        <v>9.01</v>
      </c>
      <c r="B182" s="16" t="s">
        <v>40</v>
      </c>
      <c r="C182" s="3" t="s">
        <v>1</v>
      </c>
      <c r="D182" s="277">
        <f>(44*3)-((0.9*2.1*2)+(1*1.5*2))</f>
        <v>125.22</v>
      </c>
      <c r="E182" s="134">
        <f>SUM(F182)/D182</f>
        <v>15002.706022253744</v>
      </c>
      <c r="F182" s="160">
        <f>F188+F193</f>
        <v>1878638.8481066138</v>
      </c>
    </row>
    <row r="183" spans="1:6" ht="19.399999999999999" customHeight="1">
      <c r="A183" s="203"/>
      <c r="B183" s="103"/>
      <c r="C183" s="20" t="s">
        <v>28</v>
      </c>
      <c r="D183" s="252">
        <f>D182*0.2</f>
        <v>25.044</v>
      </c>
      <c r="E183" s="136"/>
      <c r="F183" s="165"/>
    </row>
    <row r="184" spans="1:6" ht="19.399999999999999" customHeight="1">
      <c r="A184" s="200"/>
      <c r="B184" s="8" t="s">
        <v>2</v>
      </c>
      <c r="C184" s="9"/>
      <c r="D184" s="133"/>
      <c r="E184" s="133"/>
      <c r="F184" s="155"/>
    </row>
    <row r="185" spans="1:6" ht="19.399999999999999" customHeight="1">
      <c r="A185" s="200"/>
      <c r="B185" s="48" t="s">
        <v>41</v>
      </c>
      <c r="C185" s="9" t="s">
        <v>31</v>
      </c>
      <c r="D185" s="118">
        <f>D183*0.2439*(1/7)*1.54*(1440/50)</f>
        <v>38.701755417599998</v>
      </c>
      <c r="E185" s="133">
        <v>12000</v>
      </c>
      <c r="F185" s="155">
        <f>D185*E185</f>
        <v>464421.06501119997</v>
      </c>
    </row>
    <row r="186" spans="1:6" ht="19.399999999999999" customHeight="1">
      <c r="A186" s="200"/>
      <c r="B186" s="48" t="s">
        <v>42</v>
      </c>
      <c r="C186" s="9" t="s">
        <v>28</v>
      </c>
      <c r="D186" s="118">
        <f>D183*0.2439*(6/7)*1.54</f>
        <v>8.0628657120000007</v>
      </c>
      <c r="E186" s="133">
        <v>25000</v>
      </c>
      <c r="F186" s="155">
        <f>D186*E186</f>
        <v>201571.64280000003</v>
      </c>
    </row>
    <row r="187" spans="1:6" ht="19.399999999999999" customHeight="1">
      <c r="A187" s="200"/>
      <c r="B187" s="48" t="s">
        <v>43</v>
      </c>
      <c r="C187" s="9" t="s">
        <v>44</v>
      </c>
      <c r="D187" s="118">
        <f>D183*1.15/(0.235*0.1125*0.075)</f>
        <v>14525.125295508276</v>
      </c>
      <c r="E187" s="133">
        <v>50</v>
      </c>
      <c r="F187" s="155">
        <f>D187*E187</f>
        <v>726256.26477541379</v>
      </c>
    </row>
    <row r="188" spans="1:6" ht="19.399999999999999" customHeight="1">
      <c r="A188" s="170"/>
      <c r="B188" s="60" t="s">
        <v>5</v>
      </c>
      <c r="C188" s="12"/>
      <c r="D188" s="121"/>
      <c r="E188" s="135"/>
      <c r="F188" s="162">
        <f>SUM(F185:F187)</f>
        <v>1392248.9725866138</v>
      </c>
    </row>
    <row r="189" spans="1:6" ht="19.399999999999999" customHeight="1">
      <c r="A189" s="200"/>
      <c r="B189" s="48"/>
      <c r="C189" s="9"/>
      <c r="D189" s="118"/>
      <c r="E189" s="133"/>
      <c r="F189" s="155"/>
    </row>
    <row r="190" spans="1:6" ht="19.399999999999999" customHeight="1">
      <c r="A190" s="200"/>
      <c r="B190" s="8" t="s">
        <v>6</v>
      </c>
      <c r="C190" s="9"/>
      <c r="D190" s="133"/>
      <c r="E190" s="133"/>
      <c r="F190" s="155"/>
    </row>
    <row r="191" spans="1:6" ht="19.399999999999999" customHeight="1">
      <c r="A191" s="200"/>
      <c r="B191" s="13" t="s">
        <v>34</v>
      </c>
      <c r="C191" s="9" t="s">
        <v>8</v>
      </c>
      <c r="D191" s="133">
        <f>D183/1</f>
        <v>25.044</v>
      </c>
      <c r="E191" s="133">
        <v>6088.08</v>
      </c>
      <c r="F191" s="155">
        <f>D191*E191</f>
        <v>152469.87552</v>
      </c>
    </row>
    <row r="192" spans="1:6" ht="19.399999999999999" customHeight="1">
      <c r="A192" s="200"/>
      <c r="B192" s="13" t="s">
        <v>7</v>
      </c>
      <c r="C192" s="9" t="s">
        <v>8</v>
      </c>
      <c r="D192" s="118">
        <f>(D183/1.2)*4</f>
        <v>83.48</v>
      </c>
      <c r="E192" s="133">
        <v>4000</v>
      </c>
      <c r="F192" s="155">
        <f>D192*E192</f>
        <v>333920</v>
      </c>
    </row>
    <row r="193" spans="1:6" ht="19.399999999999999" customHeight="1">
      <c r="A193" s="174"/>
      <c r="B193" s="60" t="s">
        <v>9</v>
      </c>
      <c r="C193" s="61"/>
      <c r="D193" s="14"/>
      <c r="E193" s="279"/>
      <c r="F193" s="290">
        <f>SUM(F191:F192)</f>
        <v>486389.87552</v>
      </c>
    </row>
    <row r="194" spans="1:6" ht="19.399999999999999" customHeight="1">
      <c r="A194" s="174"/>
      <c r="B194" s="60"/>
      <c r="C194" s="61"/>
      <c r="D194" s="14"/>
      <c r="E194" s="279"/>
      <c r="F194" s="290"/>
    </row>
    <row r="195" spans="1:6" s="63" customFormat="1" ht="19.399999999999999" customHeight="1">
      <c r="A195" s="174">
        <v>10</v>
      </c>
      <c r="B195" s="480" t="s">
        <v>79</v>
      </c>
      <c r="C195" s="480"/>
      <c r="D195" s="480"/>
      <c r="E195" s="480"/>
      <c r="F195" s="481"/>
    </row>
    <row r="196" spans="1:6" ht="19.399999999999999" customHeight="1">
      <c r="A196" s="199">
        <v>10.01</v>
      </c>
      <c r="B196" s="2" t="s">
        <v>74</v>
      </c>
      <c r="C196" s="15" t="s">
        <v>45</v>
      </c>
      <c r="D196" s="256">
        <f>10*0.25*0.2</f>
        <v>0.5</v>
      </c>
      <c r="E196" s="281"/>
      <c r="F196" s="160">
        <f>F203+F208+F213</f>
        <v>65460.694541231125</v>
      </c>
    </row>
    <row r="197" spans="1:6" ht="19.399999999999999" customHeight="1">
      <c r="A197" s="235"/>
      <c r="B197" s="177" t="s">
        <v>29</v>
      </c>
      <c r="C197" s="178"/>
      <c r="D197" s="253"/>
      <c r="E197" s="180"/>
      <c r="F197" s="181"/>
    </row>
    <row r="198" spans="1:6" ht="18">
      <c r="A198" s="235"/>
      <c r="B198" s="182" t="s">
        <v>14</v>
      </c>
      <c r="C198" s="18" t="s">
        <v>45</v>
      </c>
      <c r="D198" s="253">
        <f>D196*(4/7)*1.57</f>
        <v>0.44857142857142857</v>
      </c>
      <c r="E198" s="180">
        <v>25000</v>
      </c>
      <c r="F198" s="181">
        <f>D198*E198</f>
        <v>11214.285714285714</v>
      </c>
    </row>
    <row r="199" spans="1:6" ht="18">
      <c r="A199" s="235"/>
      <c r="B199" s="182" t="s">
        <v>13</v>
      </c>
      <c r="C199" s="18" t="s">
        <v>45</v>
      </c>
      <c r="D199" s="253">
        <f>D196*(2/7)*1.54</f>
        <v>0.22</v>
      </c>
      <c r="E199" s="180">
        <v>25000</v>
      </c>
      <c r="F199" s="181">
        <f>D199*E199</f>
        <v>5500</v>
      </c>
    </row>
    <row r="200" spans="1:6" ht="18">
      <c r="A200" s="235"/>
      <c r="B200" s="182" t="s">
        <v>11</v>
      </c>
      <c r="C200" s="178" t="s">
        <v>12</v>
      </c>
      <c r="D200" s="253">
        <f>D196*(1/7)*1.57*(1440/50)</f>
        <v>3.2297142857142855</v>
      </c>
      <c r="E200" s="180">
        <v>12000</v>
      </c>
      <c r="F200" s="181">
        <f>D200*E200</f>
        <v>38756.571428571428</v>
      </c>
    </row>
    <row r="201" spans="1:6" ht="18">
      <c r="A201" s="206"/>
      <c r="B201" s="102" t="s">
        <v>15</v>
      </c>
      <c r="C201" s="56" t="s">
        <v>16</v>
      </c>
      <c r="D201" s="137">
        <f>D206*10</f>
        <v>0.83333333333333326</v>
      </c>
      <c r="E201" s="136">
        <v>1587</v>
      </c>
      <c r="F201" s="295">
        <f>D201*E201</f>
        <v>1322.4999999999998</v>
      </c>
    </row>
    <row r="202" spans="1:6" ht="18">
      <c r="A202" s="206"/>
      <c r="B202" s="102" t="s">
        <v>17</v>
      </c>
      <c r="C202" s="56" t="s">
        <v>16</v>
      </c>
      <c r="D202" s="137">
        <f>D207*5</f>
        <v>0.41666666666666663</v>
      </c>
      <c r="E202" s="136">
        <v>1587</v>
      </c>
      <c r="F202" s="295">
        <f>D202*E202</f>
        <v>661.24999999999989</v>
      </c>
    </row>
    <row r="203" spans="1:6" ht="18">
      <c r="A203" s="235"/>
      <c r="B203" s="177" t="s">
        <v>5</v>
      </c>
      <c r="C203" s="178"/>
      <c r="D203" s="253"/>
      <c r="E203" s="180"/>
      <c r="F203" s="297">
        <f>F198+F199+F200</f>
        <v>55470.857142857145</v>
      </c>
    </row>
    <row r="204" spans="1:6" ht="18">
      <c r="A204" s="235"/>
      <c r="B204" s="182"/>
      <c r="C204" s="178"/>
      <c r="D204" s="253"/>
      <c r="E204" s="180"/>
      <c r="F204" s="181"/>
    </row>
    <row r="205" spans="1:6" ht="18">
      <c r="A205" s="206"/>
      <c r="B205" s="101" t="s">
        <v>19</v>
      </c>
      <c r="C205" s="56"/>
      <c r="D205" s="137"/>
      <c r="E205" s="136"/>
      <c r="F205" s="295"/>
    </row>
    <row r="206" spans="1:6" ht="18">
      <c r="A206" s="206"/>
      <c r="B206" s="102" t="s">
        <v>20</v>
      </c>
      <c r="C206" s="56" t="s">
        <v>21</v>
      </c>
      <c r="D206" s="137">
        <f>D196/6</f>
        <v>8.3333333333333329E-2</v>
      </c>
      <c r="E206" s="136">
        <v>50000</v>
      </c>
      <c r="F206" s="295">
        <f>D206*E206</f>
        <v>4166.6666666666661</v>
      </c>
    </row>
    <row r="207" spans="1:6" ht="18">
      <c r="A207" s="206"/>
      <c r="B207" s="102" t="s">
        <v>22</v>
      </c>
      <c r="C207" s="56" t="s">
        <v>21</v>
      </c>
      <c r="D207" s="137">
        <f>D196/6</f>
        <v>8.3333333333333329E-2</v>
      </c>
      <c r="E207" s="136">
        <v>15000</v>
      </c>
      <c r="F207" s="295">
        <f>D207*E207</f>
        <v>1250</v>
      </c>
    </row>
    <row r="208" spans="1:6" ht="19.5">
      <c r="A208" s="207"/>
      <c r="B208" s="101" t="s">
        <v>23</v>
      </c>
      <c r="C208" s="57"/>
      <c r="D208" s="124"/>
      <c r="E208" s="262"/>
      <c r="F208" s="296">
        <f>SUM(F206:F207)</f>
        <v>5416.6666666666661</v>
      </c>
    </row>
    <row r="209" spans="1:6" ht="19.5">
      <c r="A209" s="207"/>
      <c r="B209" s="101"/>
      <c r="C209" s="57"/>
      <c r="D209" s="124"/>
      <c r="E209" s="262"/>
      <c r="F209" s="296"/>
    </row>
    <row r="210" spans="1:6" ht="18">
      <c r="A210" s="238"/>
      <c r="B210" s="177" t="s">
        <v>33</v>
      </c>
      <c r="C210" s="178"/>
      <c r="D210" s="253"/>
      <c r="E210" s="180"/>
      <c r="F210" s="181"/>
    </row>
    <row r="211" spans="1:6" ht="18">
      <c r="A211" s="238"/>
      <c r="B211" s="182" t="s">
        <v>34</v>
      </c>
      <c r="C211" s="178" t="s">
        <v>21</v>
      </c>
      <c r="D211" s="253">
        <f>D196/1.64</f>
        <v>0.3048780487804878</v>
      </c>
      <c r="E211" s="180">
        <v>7000</v>
      </c>
      <c r="F211" s="181">
        <f>+D211*E211</f>
        <v>2134.1463414634145</v>
      </c>
    </row>
    <row r="212" spans="1:6" ht="18">
      <c r="A212" s="238"/>
      <c r="B212" s="182" t="s">
        <v>7</v>
      </c>
      <c r="C212" s="178" t="s">
        <v>21</v>
      </c>
      <c r="D212" s="253">
        <f>+D211*2</f>
        <v>0.6097560975609756</v>
      </c>
      <c r="E212" s="180">
        <v>4000</v>
      </c>
      <c r="F212" s="181">
        <f>+D212*E212</f>
        <v>2439.0243902439024</v>
      </c>
    </row>
    <row r="213" spans="1:6" ht="19.5">
      <c r="A213" s="207"/>
      <c r="B213" s="101" t="s">
        <v>78</v>
      </c>
      <c r="C213" s="57"/>
      <c r="D213" s="124"/>
      <c r="E213" s="262"/>
      <c r="F213" s="296">
        <f>SUM(F211:F212)</f>
        <v>4573.1707317073169</v>
      </c>
    </row>
    <row r="214" spans="1:6" ht="18">
      <c r="A214" s="238"/>
      <c r="B214" s="182"/>
      <c r="C214" s="178"/>
      <c r="D214" s="253"/>
      <c r="E214" s="180"/>
      <c r="F214" s="181"/>
    </row>
    <row r="215" spans="1:6" s="63" customFormat="1" ht="19.5">
      <c r="A215" s="188">
        <v>11</v>
      </c>
      <c r="B215" s="488" t="s">
        <v>76</v>
      </c>
      <c r="C215" s="488"/>
      <c r="D215" s="488"/>
      <c r="E215" s="488"/>
      <c r="F215" s="489"/>
    </row>
    <row r="216" spans="1:6" ht="18">
      <c r="A216" s="199">
        <v>11.01</v>
      </c>
      <c r="B216" s="99" t="s">
        <v>75</v>
      </c>
      <c r="C216" s="41" t="s">
        <v>36</v>
      </c>
      <c r="D216" s="117">
        <f>78+52</f>
        <v>130</v>
      </c>
      <c r="E216" s="134">
        <f>F216/D216</f>
        <v>4599.8987692307692</v>
      </c>
      <c r="F216" s="298">
        <f>F223+F233</f>
        <v>597986.84</v>
      </c>
    </row>
    <row r="217" spans="1:6" ht="18">
      <c r="A217" s="203"/>
      <c r="B217" s="19"/>
      <c r="C217" s="20"/>
      <c r="D217" s="137">
        <f>D216*0.05</f>
        <v>6.5</v>
      </c>
      <c r="E217" s="136"/>
      <c r="F217" s="165"/>
    </row>
    <row r="218" spans="1:6" ht="18">
      <c r="A218" s="204"/>
      <c r="B218" s="97" t="s">
        <v>2</v>
      </c>
      <c r="C218" s="23"/>
      <c r="D218" s="118"/>
      <c r="E218" s="133"/>
      <c r="F218" s="292"/>
    </row>
    <row r="219" spans="1:6" ht="18">
      <c r="A219" s="201"/>
      <c r="B219" s="13" t="s">
        <v>30</v>
      </c>
      <c r="C219" s="9" t="s">
        <v>28</v>
      </c>
      <c r="D219" s="133">
        <f>D216*0.1*1.5</f>
        <v>19.5</v>
      </c>
      <c r="E219" s="133">
        <v>12000</v>
      </c>
      <c r="F219" s="155">
        <f>+D219*E219</f>
        <v>234000</v>
      </c>
    </row>
    <row r="220" spans="1:6" ht="18">
      <c r="A220" s="204"/>
      <c r="B220" s="98" t="s">
        <v>11</v>
      </c>
      <c r="C220" s="23" t="s">
        <v>12</v>
      </c>
      <c r="D220" s="133">
        <f>D217*(1/13)*1.57*(1440/50)</f>
        <v>22.608000000000001</v>
      </c>
      <c r="E220" s="133">
        <v>12000</v>
      </c>
      <c r="F220" s="292">
        <f>D220*E220</f>
        <v>271296</v>
      </c>
    </row>
    <row r="221" spans="1:6" ht="18">
      <c r="A221" s="204"/>
      <c r="B221" s="98" t="s">
        <v>13</v>
      </c>
      <c r="C221" s="23" t="s">
        <v>10</v>
      </c>
      <c r="D221" s="133">
        <f>D217*(4/13)*1.57</f>
        <v>3.14</v>
      </c>
      <c r="E221" s="133">
        <v>25000</v>
      </c>
      <c r="F221" s="292">
        <f>D221*E221</f>
        <v>78500</v>
      </c>
    </row>
    <row r="222" spans="1:6" ht="18">
      <c r="A222" s="204"/>
      <c r="B222" s="98" t="s">
        <v>14</v>
      </c>
      <c r="C222" s="23" t="s">
        <v>10</v>
      </c>
      <c r="D222" s="133">
        <f>D217*(8/13)*1.57</f>
        <v>6.28</v>
      </c>
      <c r="E222" s="133">
        <v>25000</v>
      </c>
      <c r="F222" s="292">
        <f>D222*E222</f>
        <v>157000</v>
      </c>
    </row>
    <row r="223" spans="1:6" ht="19.5">
      <c r="A223" s="168"/>
      <c r="B223" s="97" t="s">
        <v>115</v>
      </c>
      <c r="C223" s="28"/>
      <c r="D223" s="121"/>
      <c r="E223" s="135"/>
      <c r="F223" s="293">
        <f>SUM(F220:F222)</f>
        <v>506796</v>
      </c>
    </row>
    <row r="224" spans="1:6" ht="19.5">
      <c r="A224" s="168"/>
      <c r="B224" s="97"/>
      <c r="C224" s="28"/>
      <c r="D224" s="121"/>
      <c r="E224" s="135"/>
      <c r="F224" s="293"/>
    </row>
    <row r="225" spans="1:8" ht="18">
      <c r="A225" s="206"/>
      <c r="B225" s="101" t="s">
        <v>19</v>
      </c>
      <c r="C225" s="56"/>
      <c r="D225" s="137"/>
      <c r="E225" s="136"/>
      <c r="F225" s="295"/>
    </row>
    <row r="226" spans="1:8" ht="18">
      <c r="A226" s="206"/>
      <c r="B226" s="102" t="s">
        <v>20</v>
      </c>
      <c r="C226" s="56" t="s">
        <v>21</v>
      </c>
      <c r="D226" s="137">
        <f>D217/6</f>
        <v>1.0833333333333333</v>
      </c>
      <c r="E226" s="136">
        <v>50000</v>
      </c>
      <c r="F226" s="295">
        <f>D226*E226</f>
        <v>54166.666666666664</v>
      </c>
    </row>
    <row r="227" spans="1:8" ht="18">
      <c r="A227" s="206"/>
      <c r="B227" s="102" t="s">
        <v>22</v>
      </c>
      <c r="C227" s="56" t="s">
        <v>21</v>
      </c>
      <c r="D227" s="137">
        <f>D217/6</f>
        <v>1.0833333333333333</v>
      </c>
      <c r="E227" s="136">
        <v>15000</v>
      </c>
      <c r="F227" s="295">
        <f>D227*E227</f>
        <v>16249.999999999998</v>
      </c>
    </row>
    <row r="228" spans="1:8" s="53" customFormat="1" ht="19.5">
      <c r="A228" s="207"/>
      <c r="B228" s="101" t="s">
        <v>112</v>
      </c>
      <c r="C228" s="57"/>
      <c r="D228" s="124"/>
      <c r="E228" s="262"/>
      <c r="F228" s="296">
        <f>SUM(F226:F227)</f>
        <v>70416.666666666657</v>
      </c>
    </row>
    <row r="229" spans="1:8" ht="18">
      <c r="A229" s="204"/>
      <c r="B229" s="98"/>
      <c r="C229" s="23"/>
      <c r="D229" s="118"/>
      <c r="E229" s="133"/>
      <c r="F229" s="292"/>
    </row>
    <row r="230" spans="1:8" ht="18">
      <c r="A230" s="204"/>
      <c r="B230" s="97" t="s">
        <v>6</v>
      </c>
      <c r="C230" s="23"/>
      <c r="D230" s="118"/>
      <c r="E230" s="133"/>
      <c r="F230" s="292"/>
    </row>
    <row r="231" spans="1:8" ht="18">
      <c r="A231" s="204"/>
      <c r="B231" s="98" t="s">
        <v>24</v>
      </c>
      <c r="C231" s="23" t="s">
        <v>21</v>
      </c>
      <c r="D231" s="118">
        <f>(D217/6)*2</f>
        <v>2.1666666666666665</v>
      </c>
      <c r="E231" s="133">
        <v>6088.08</v>
      </c>
      <c r="F231" s="292">
        <f>D231*E231</f>
        <v>13190.839999999998</v>
      </c>
    </row>
    <row r="232" spans="1:8" ht="18">
      <c r="A232" s="204"/>
      <c r="B232" s="98" t="s">
        <v>25</v>
      </c>
      <c r="C232" s="23" t="s">
        <v>21</v>
      </c>
      <c r="D232" s="118">
        <f>(D217/6)*18</f>
        <v>19.5</v>
      </c>
      <c r="E232" s="133">
        <v>4000</v>
      </c>
      <c r="F232" s="292">
        <f>D232*E232</f>
        <v>78000</v>
      </c>
    </row>
    <row r="233" spans="1:8" ht="19.5">
      <c r="A233" s="168"/>
      <c r="B233" s="97" t="s">
        <v>113</v>
      </c>
      <c r="C233" s="28"/>
      <c r="D233" s="121"/>
      <c r="E233" s="135"/>
      <c r="F233" s="293">
        <f>SUM(F231:F232)</f>
        <v>91190.84</v>
      </c>
    </row>
    <row r="234" spans="1:8" ht="18">
      <c r="A234" s="204"/>
      <c r="B234" s="98"/>
      <c r="C234" s="23"/>
      <c r="D234" s="118"/>
      <c r="E234" s="133"/>
      <c r="F234" s="292"/>
    </row>
    <row r="235" spans="1:8" ht="18">
      <c r="A235" s="199">
        <v>12.01</v>
      </c>
      <c r="B235" s="2" t="s">
        <v>80</v>
      </c>
      <c r="C235" s="65" t="s">
        <v>47</v>
      </c>
      <c r="D235" s="214">
        <f>78+52</f>
        <v>130</v>
      </c>
      <c r="E235" s="282">
        <f>F235/D235</f>
        <v>4745.6996666666664</v>
      </c>
      <c r="F235" s="153">
        <f>F239+F244</f>
        <v>616940.95666666667</v>
      </c>
    </row>
    <row r="236" spans="1:8" ht="18">
      <c r="A236" s="201"/>
      <c r="B236" s="60" t="s">
        <v>2</v>
      </c>
      <c r="C236" s="44"/>
      <c r="D236" s="140"/>
      <c r="E236" s="283"/>
      <c r="F236" s="155"/>
    </row>
    <row r="237" spans="1:8" ht="18">
      <c r="A237" s="201"/>
      <c r="B237" s="48" t="s">
        <v>11</v>
      </c>
      <c r="C237" s="44" t="s">
        <v>12</v>
      </c>
      <c r="D237" s="140">
        <f>D235*(1/6)*0.032*(1440/50)*1.54</f>
        <v>30.750719999999994</v>
      </c>
      <c r="E237" s="283">
        <v>12000</v>
      </c>
      <c r="F237" s="155">
        <f>E237*D237</f>
        <v>369008.63999999996</v>
      </c>
    </row>
    <row r="238" spans="1:8" ht="18">
      <c r="A238" s="201"/>
      <c r="B238" s="48" t="s">
        <v>13</v>
      </c>
      <c r="C238" s="44" t="s">
        <v>10</v>
      </c>
      <c r="D238" s="140">
        <f>D235*(5/6)*0.032*1.54</f>
        <v>5.3386666666666676</v>
      </c>
      <c r="E238" s="283">
        <v>25000</v>
      </c>
      <c r="F238" s="155">
        <f>E238*D238</f>
        <v>133466.66666666669</v>
      </c>
    </row>
    <row r="239" spans="1:8" ht="19.5">
      <c r="A239" s="207"/>
      <c r="B239" s="101" t="s">
        <v>5</v>
      </c>
      <c r="C239" s="57"/>
      <c r="D239" s="124"/>
      <c r="E239" s="262"/>
      <c r="F239" s="296">
        <f>SUM(F237:F238)</f>
        <v>502475.30666666664</v>
      </c>
      <c r="H239" s="67"/>
    </row>
    <row r="240" spans="1:8" ht="18">
      <c r="A240" s="204"/>
      <c r="B240" s="98"/>
      <c r="C240" s="23"/>
      <c r="D240" s="118"/>
      <c r="E240" s="133"/>
      <c r="F240" s="292"/>
    </row>
    <row r="241" spans="1:6" ht="18">
      <c r="A241" s="204"/>
      <c r="B241" s="97" t="s">
        <v>6</v>
      </c>
      <c r="C241" s="23"/>
      <c r="D241" s="118"/>
      <c r="E241" s="133"/>
      <c r="F241" s="292"/>
    </row>
    <row r="242" spans="1:6" ht="18">
      <c r="A242" s="204"/>
      <c r="B242" s="98" t="s">
        <v>34</v>
      </c>
      <c r="C242" s="23" t="s">
        <v>8</v>
      </c>
      <c r="D242" s="118">
        <f>D235/16</f>
        <v>8.125</v>
      </c>
      <c r="E242" s="133">
        <v>6088.08</v>
      </c>
      <c r="F242" s="292">
        <f>D242*E242</f>
        <v>49465.65</v>
      </c>
    </row>
    <row r="243" spans="1:6" ht="18">
      <c r="A243" s="204"/>
      <c r="B243" s="98" t="s">
        <v>7</v>
      </c>
      <c r="C243" s="23" t="s">
        <v>8</v>
      </c>
      <c r="D243" s="118">
        <f>D242*2</f>
        <v>16.25</v>
      </c>
      <c r="E243" s="133">
        <v>4000</v>
      </c>
      <c r="F243" s="292">
        <f>D243*E243</f>
        <v>65000</v>
      </c>
    </row>
    <row r="244" spans="1:6" ht="19.5">
      <c r="A244" s="168"/>
      <c r="B244" s="97" t="s">
        <v>9</v>
      </c>
      <c r="C244" s="28"/>
      <c r="D244" s="121"/>
      <c r="E244" s="135"/>
      <c r="F244" s="293">
        <f>SUM(F242:F243)</f>
        <v>114465.65</v>
      </c>
    </row>
    <row r="245" spans="1:6" ht="19.5">
      <c r="A245" s="168"/>
      <c r="B245" s="97"/>
      <c r="C245" s="28"/>
      <c r="D245" s="121"/>
      <c r="E245" s="135"/>
      <c r="F245" s="293"/>
    </row>
    <row r="246" spans="1:6" s="90" customFormat="1" ht="19.5">
      <c r="A246" s="168">
        <v>13</v>
      </c>
      <c r="B246" s="484" t="s">
        <v>81</v>
      </c>
      <c r="C246" s="484"/>
      <c r="D246" s="484"/>
      <c r="E246" s="484"/>
      <c r="F246" s="485"/>
    </row>
    <row r="247" spans="1:6" ht="18">
      <c r="A247" s="205">
        <v>13.01</v>
      </c>
      <c r="B247" s="16" t="s">
        <v>49</v>
      </c>
      <c r="C247" s="35" t="s">
        <v>50</v>
      </c>
      <c r="D247" s="125">
        <f>(38*3)-(7.56+10.6)</f>
        <v>95.84</v>
      </c>
      <c r="E247" s="138">
        <f>F247/D247</f>
        <v>3911.1605423728815</v>
      </c>
      <c r="F247" s="153">
        <f>F251+F256</f>
        <v>374845.62638101698</v>
      </c>
    </row>
    <row r="248" spans="1:6" ht="18">
      <c r="A248" s="204"/>
      <c r="B248" s="60" t="s">
        <v>51</v>
      </c>
      <c r="C248" s="44"/>
      <c r="D248" s="133"/>
      <c r="E248" s="133"/>
      <c r="F248" s="155"/>
    </row>
    <row r="249" spans="1:6" ht="18">
      <c r="A249" s="203"/>
      <c r="B249" s="48" t="s">
        <v>52</v>
      </c>
      <c r="C249" s="44" t="s">
        <v>12</v>
      </c>
      <c r="D249" s="118">
        <f>D247*0.015*(1/5)*1.54*(1440/50)</f>
        <v>12.752087040000001</v>
      </c>
      <c r="E249" s="133">
        <f>11000/1.18</f>
        <v>9322.033898305086</v>
      </c>
      <c r="F249" s="155">
        <f>D249*E249</f>
        <v>118875.38766101697</v>
      </c>
    </row>
    <row r="250" spans="1:6" ht="18">
      <c r="A250" s="239"/>
      <c r="B250" s="48" t="s">
        <v>13</v>
      </c>
      <c r="C250" s="44" t="s">
        <v>28</v>
      </c>
      <c r="D250" s="118">
        <f>D247*0.015*1.54*(4/5)</f>
        <v>1.7711231999999999</v>
      </c>
      <c r="E250" s="133">
        <v>25000</v>
      </c>
      <c r="F250" s="155">
        <f>D250*E250</f>
        <v>44278.079999999994</v>
      </c>
    </row>
    <row r="251" spans="1:6" ht="19.5">
      <c r="A251" s="192"/>
      <c r="B251" s="60" t="s">
        <v>5</v>
      </c>
      <c r="C251" s="61"/>
      <c r="D251" s="121"/>
      <c r="E251" s="135"/>
      <c r="F251" s="162">
        <f>SUM(F249:F250)</f>
        <v>163153.46766101697</v>
      </c>
    </row>
    <row r="252" spans="1:6" ht="18">
      <c r="A252" s="239"/>
      <c r="B252" s="48"/>
      <c r="C252" s="44"/>
      <c r="D252" s="118"/>
      <c r="E252" s="133"/>
      <c r="F252" s="155"/>
    </row>
    <row r="253" spans="1:6" ht="18">
      <c r="A253" s="239"/>
      <c r="B253" s="60" t="s">
        <v>53</v>
      </c>
      <c r="C253" s="44"/>
      <c r="D253" s="133"/>
      <c r="E253" s="133"/>
      <c r="F253" s="155"/>
    </row>
    <row r="254" spans="1:6" ht="18">
      <c r="A254" s="239"/>
      <c r="B254" s="48" t="s">
        <v>34</v>
      </c>
      <c r="C254" s="44" t="s">
        <v>8</v>
      </c>
      <c r="D254" s="118">
        <f>D247/10</f>
        <v>9.5839999999999996</v>
      </c>
      <c r="E254" s="133">
        <v>6088.08</v>
      </c>
      <c r="F254" s="155">
        <f>D254*E254</f>
        <v>58348.158719999999</v>
      </c>
    </row>
    <row r="255" spans="1:6" ht="18">
      <c r="A255" s="239"/>
      <c r="B255" s="48" t="s">
        <v>7</v>
      </c>
      <c r="C255" s="44" t="s">
        <v>8</v>
      </c>
      <c r="D255" s="133">
        <f>D254*4</f>
        <v>38.335999999999999</v>
      </c>
      <c r="E255" s="133">
        <v>4000</v>
      </c>
      <c r="F255" s="155">
        <f>D255*E255</f>
        <v>153344</v>
      </c>
    </row>
    <row r="256" spans="1:6" ht="19.5">
      <c r="A256" s="192"/>
      <c r="B256" s="97" t="s">
        <v>54</v>
      </c>
      <c r="C256" s="61"/>
      <c r="D256" s="135"/>
      <c r="E256" s="135"/>
      <c r="F256" s="162">
        <f>SUM(F254:F255)</f>
        <v>211692.15872000001</v>
      </c>
    </row>
    <row r="257" spans="1:6" ht="18">
      <c r="A257" s="200"/>
      <c r="B257" s="48"/>
      <c r="C257" s="44"/>
      <c r="D257" s="133"/>
      <c r="E257" s="133"/>
      <c r="F257" s="155"/>
    </row>
    <row r="258" spans="1:6" s="90" customFormat="1" ht="19.5">
      <c r="A258" s="192">
        <v>14</v>
      </c>
      <c r="B258" s="104" t="s">
        <v>55</v>
      </c>
      <c r="C258" s="94"/>
      <c r="D258" s="129"/>
      <c r="E258" s="284"/>
      <c r="F258" s="299"/>
    </row>
    <row r="259" spans="1:6" ht="18">
      <c r="A259" s="241">
        <v>14.01</v>
      </c>
      <c r="B259" s="16" t="s">
        <v>49</v>
      </c>
      <c r="C259" s="35" t="s">
        <v>1</v>
      </c>
      <c r="D259" s="125">
        <f>D247</f>
        <v>95.84</v>
      </c>
      <c r="E259" s="138">
        <f>F259/D259</f>
        <v>2189.9299999999998</v>
      </c>
      <c r="F259" s="153">
        <f>F267+F272</f>
        <v>209882.89120000001</v>
      </c>
    </row>
    <row r="260" spans="1:6" ht="18">
      <c r="A260" s="200"/>
      <c r="B260" s="60" t="s">
        <v>2</v>
      </c>
      <c r="C260" s="44"/>
      <c r="D260" s="133"/>
      <c r="E260" s="133"/>
      <c r="F260" s="155"/>
    </row>
    <row r="261" spans="1:6" ht="18">
      <c r="A261" s="242"/>
      <c r="B261" s="48" t="s">
        <v>56</v>
      </c>
      <c r="C261" s="44" t="s">
        <v>57</v>
      </c>
      <c r="D261" s="133">
        <f>D259*0.07*3</f>
        <v>20.126400000000004</v>
      </c>
      <c r="E261" s="133">
        <f>105000/20</f>
        <v>5250</v>
      </c>
      <c r="F261" s="155">
        <f t="shared" ref="F261:F266" si="0">E261*D261</f>
        <v>105663.60000000002</v>
      </c>
    </row>
    <row r="262" spans="1:6" ht="18">
      <c r="A262" s="239"/>
      <c r="B262" s="48" t="str">
        <f>'[1]Emulsion Paint'!$B$19</f>
        <v>Induit/undercoat ( 2 coats)</v>
      </c>
      <c r="C262" s="44" t="s">
        <v>57</v>
      </c>
      <c r="D262" s="133">
        <f>D259*0.07*2</f>
        <v>13.417600000000002</v>
      </c>
      <c r="E262" s="133">
        <f>20000/20</f>
        <v>1000</v>
      </c>
      <c r="F262" s="155">
        <f t="shared" si="0"/>
        <v>13417.600000000002</v>
      </c>
    </row>
    <row r="263" spans="1:6" ht="18">
      <c r="A263" s="239"/>
      <c r="B263" s="48" t="str">
        <f>'[1]Emulsion Paint'!$B$24</f>
        <v>Roller</v>
      </c>
      <c r="C263" s="44" t="s">
        <v>44</v>
      </c>
      <c r="D263" s="118">
        <f>D259/100</f>
        <v>0.95840000000000003</v>
      </c>
      <c r="E263" s="133">
        <v>2000</v>
      </c>
      <c r="F263" s="155">
        <f t="shared" si="0"/>
        <v>1916.8</v>
      </c>
    </row>
    <row r="264" spans="1:6" ht="18">
      <c r="A264" s="239"/>
      <c r="B264" s="48" t="str">
        <f>'[1]Emulsion Paint'!$B$23</f>
        <v>Brush</v>
      </c>
      <c r="C264" s="44" t="s">
        <v>44</v>
      </c>
      <c r="D264" s="118">
        <f>D259/100</f>
        <v>0.95840000000000003</v>
      </c>
      <c r="E264" s="133">
        <v>1000</v>
      </c>
      <c r="F264" s="155">
        <f t="shared" si="0"/>
        <v>958.4</v>
      </c>
    </row>
    <row r="265" spans="1:6" ht="18">
      <c r="A265" s="239"/>
      <c r="B265" s="48" t="s">
        <v>58</v>
      </c>
      <c r="C265" s="44" t="s">
        <v>59</v>
      </c>
      <c r="D265" s="118">
        <f>D259/100</f>
        <v>0.95840000000000003</v>
      </c>
      <c r="E265" s="133">
        <v>500</v>
      </c>
      <c r="F265" s="155">
        <f t="shared" si="0"/>
        <v>479.2</v>
      </c>
    </row>
    <row r="266" spans="1:6" ht="18">
      <c r="A266" s="239"/>
      <c r="B266" s="48" t="s">
        <v>60</v>
      </c>
      <c r="C266" s="44" t="s">
        <v>44</v>
      </c>
      <c r="D266" s="118">
        <f>D259/50</f>
        <v>1.9168000000000001</v>
      </c>
      <c r="E266" s="133">
        <v>5000</v>
      </c>
      <c r="F266" s="155">
        <f t="shared" si="0"/>
        <v>9584</v>
      </c>
    </row>
    <row r="267" spans="1:6" ht="19.5">
      <c r="A267" s="192"/>
      <c r="B267" s="60" t="s">
        <v>61</v>
      </c>
      <c r="C267" s="61"/>
      <c r="D267" s="121"/>
      <c r="E267" s="135"/>
      <c r="F267" s="162">
        <f>SUM(F261:F266)</f>
        <v>132019.60000000003</v>
      </c>
    </row>
    <row r="268" spans="1:6" ht="18">
      <c r="A268" s="239"/>
      <c r="B268" s="48"/>
      <c r="C268" s="44"/>
      <c r="D268" s="118"/>
      <c r="E268" s="133"/>
      <c r="F268" s="155"/>
    </row>
    <row r="269" spans="1:6" ht="18">
      <c r="A269" s="239"/>
      <c r="B269" s="60" t="s">
        <v>6</v>
      </c>
      <c r="C269" s="44"/>
      <c r="D269" s="133"/>
      <c r="E269" s="133"/>
      <c r="F269" s="155"/>
    </row>
    <row r="270" spans="1:6" ht="18">
      <c r="A270" s="239"/>
      <c r="B270" s="48" t="s">
        <v>7</v>
      </c>
      <c r="C270" s="44" t="s">
        <v>62</v>
      </c>
      <c r="D270" s="133">
        <f>D271</f>
        <v>7.0682</v>
      </c>
      <c r="E270" s="133">
        <v>4000</v>
      </c>
      <c r="F270" s="155">
        <f>E270*D270</f>
        <v>28272.799999999999</v>
      </c>
    </row>
    <row r="271" spans="1:6" ht="18">
      <c r="A271" s="239"/>
      <c r="B271" s="48" t="s">
        <v>63</v>
      </c>
      <c r="C271" s="44" t="s">
        <v>62</v>
      </c>
      <c r="D271" s="133">
        <f>D259*(0.59/8)</f>
        <v>7.0682</v>
      </c>
      <c r="E271" s="133">
        <v>7016</v>
      </c>
      <c r="F271" s="155">
        <f>E271*D271</f>
        <v>49590.491199999997</v>
      </c>
    </row>
    <row r="272" spans="1:6" ht="19.5">
      <c r="A272" s="168"/>
      <c r="B272" s="97" t="s">
        <v>9</v>
      </c>
      <c r="C272" s="28"/>
      <c r="D272" s="121"/>
      <c r="E272" s="135"/>
      <c r="F272" s="293">
        <f>SUM(F270:F271)</f>
        <v>77863.291199999992</v>
      </c>
    </row>
    <row r="273" spans="1:6" ht="18">
      <c r="A273" s="243"/>
      <c r="B273" s="106"/>
      <c r="C273" s="47"/>
      <c r="D273" s="128"/>
      <c r="E273" s="141"/>
      <c r="F273" s="300"/>
    </row>
    <row r="274" spans="1:6" s="90" customFormat="1" ht="19.5">
      <c r="A274" s="168">
        <v>15</v>
      </c>
      <c r="B274" s="484" t="s">
        <v>126</v>
      </c>
      <c r="C274" s="484"/>
      <c r="D274" s="484"/>
      <c r="E274" s="484"/>
      <c r="F274" s="485"/>
    </row>
    <row r="275" spans="1:6" ht="18">
      <c r="A275" s="205">
        <v>15.01</v>
      </c>
      <c r="B275" s="16" t="s">
        <v>64</v>
      </c>
      <c r="C275" s="35" t="s">
        <v>50</v>
      </c>
      <c r="D275" s="125">
        <f>D247</f>
        <v>95.84</v>
      </c>
      <c r="E275" s="138">
        <f>F275/D275</f>
        <v>4012.2128192090399</v>
      </c>
      <c r="F275" s="153">
        <f>F280+F285</f>
        <v>384530.47659299441</v>
      </c>
    </row>
    <row r="276" spans="1:6" ht="18">
      <c r="A276" s="204"/>
      <c r="B276" s="60" t="s">
        <v>51</v>
      </c>
      <c r="C276" s="44"/>
      <c r="D276" s="133"/>
      <c r="E276" s="133"/>
      <c r="F276" s="155"/>
    </row>
    <row r="277" spans="1:6" ht="18">
      <c r="A277" s="203"/>
      <c r="B277" s="48" t="s">
        <v>52</v>
      </c>
      <c r="C277" s="44" t="s">
        <v>12</v>
      </c>
      <c r="D277" s="118">
        <f>D275*0.01*(1/4)*1.54*(1440/50)+(D275*0.003*(1/6)*1.57*(1440/50))</f>
        <v>12.793489920000001</v>
      </c>
      <c r="E277" s="133">
        <f>11000/1.18</f>
        <v>9322.033898305086</v>
      </c>
      <c r="F277" s="155">
        <f>D277*E277</f>
        <v>119261.34671186443</v>
      </c>
    </row>
    <row r="278" spans="1:6" ht="18">
      <c r="A278" s="239"/>
      <c r="B278" s="48" t="s">
        <v>13</v>
      </c>
      <c r="C278" s="44" t="s">
        <v>28</v>
      </c>
      <c r="D278" s="118">
        <f>D275*0.01*1.5*1.54*(3/4)</f>
        <v>1.660428</v>
      </c>
      <c r="E278" s="133">
        <v>25000</v>
      </c>
      <c r="F278" s="155">
        <f>D278*E278</f>
        <v>41510.699999999997</v>
      </c>
    </row>
    <row r="279" spans="1:6" ht="18">
      <c r="A279" s="239"/>
      <c r="B279" s="48" t="s">
        <v>65</v>
      </c>
      <c r="C279" s="44" t="s">
        <v>31</v>
      </c>
      <c r="D279" s="118">
        <f>D275*0.003*(5/6)*1.57*(1440/50)</f>
        <v>10.8337536</v>
      </c>
      <c r="E279" s="133">
        <f>9000/1.18</f>
        <v>7627.1186440677966</v>
      </c>
      <c r="F279" s="155">
        <f>D279*E279</f>
        <v>82630.32406779661</v>
      </c>
    </row>
    <row r="280" spans="1:6" ht="19.5">
      <c r="A280" s="192"/>
      <c r="B280" s="60" t="s">
        <v>5</v>
      </c>
      <c r="C280" s="61"/>
      <c r="D280" s="121"/>
      <c r="E280" s="135"/>
      <c r="F280" s="162">
        <f>SUM(F277:F279)</f>
        <v>243402.37077966103</v>
      </c>
    </row>
    <row r="281" spans="1:6" ht="18">
      <c r="A281" s="239"/>
      <c r="B281" s="48"/>
      <c r="C281" s="44"/>
      <c r="D281" s="118"/>
      <c r="E281" s="133"/>
      <c r="F281" s="155"/>
    </row>
    <row r="282" spans="1:6" ht="18">
      <c r="A282" s="92"/>
      <c r="B282" s="60" t="s">
        <v>53</v>
      </c>
      <c r="C282" s="44"/>
      <c r="D282" s="133"/>
      <c r="E282" s="133"/>
      <c r="F282" s="155"/>
    </row>
    <row r="283" spans="1:6" ht="18">
      <c r="A283" s="92"/>
      <c r="B283" s="48" t="s">
        <v>34</v>
      </c>
      <c r="C283" s="44" t="s">
        <v>8</v>
      </c>
      <c r="D283" s="118">
        <f>D275/15</f>
        <v>6.389333333333334</v>
      </c>
      <c r="E283" s="133">
        <v>6088.08</v>
      </c>
      <c r="F283" s="155">
        <f>D283*E283</f>
        <v>38898.772480000007</v>
      </c>
    </row>
    <row r="284" spans="1:6" ht="18">
      <c r="A284" s="92"/>
      <c r="B284" s="48" t="s">
        <v>7</v>
      </c>
      <c r="C284" s="44" t="s">
        <v>8</v>
      </c>
      <c r="D284" s="133">
        <f>D283*4</f>
        <v>25.557333333333336</v>
      </c>
      <c r="E284" s="133">
        <v>4000</v>
      </c>
      <c r="F284" s="155">
        <f>D284*E284</f>
        <v>102229.33333333334</v>
      </c>
    </row>
    <row r="285" spans="1:6" ht="19.5">
      <c r="A285" s="93"/>
      <c r="B285" s="97" t="s">
        <v>54</v>
      </c>
      <c r="C285" s="61"/>
      <c r="D285" s="135"/>
      <c r="E285" s="135"/>
      <c r="F285" s="162">
        <f>SUM(F283:F284)</f>
        <v>141128.10581333336</v>
      </c>
    </row>
    <row r="286" spans="1:6" ht="18">
      <c r="A286" s="91"/>
      <c r="B286" s="98"/>
      <c r="C286" s="23"/>
      <c r="D286" s="118"/>
      <c r="E286" s="133"/>
      <c r="F286" s="292"/>
    </row>
    <row r="287" spans="1:6" s="90" customFormat="1" ht="19.5">
      <c r="A287" s="84">
        <v>16</v>
      </c>
      <c r="B287" s="484" t="s">
        <v>143</v>
      </c>
      <c r="C287" s="484"/>
      <c r="D287" s="484"/>
      <c r="E287" s="484"/>
      <c r="F287" s="485"/>
    </row>
    <row r="288" spans="1:6" ht="18">
      <c r="A288" s="208">
        <v>16.010000000000002</v>
      </c>
      <c r="B288" s="16" t="s">
        <v>66</v>
      </c>
      <c r="C288" s="35" t="s">
        <v>1</v>
      </c>
      <c r="D288" s="138">
        <f>D275+D247</f>
        <v>191.68</v>
      </c>
      <c r="E288" s="138">
        <f>F288/D288</f>
        <v>4268.1992307692317</v>
      </c>
      <c r="F288" s="153">
        <f>F298+F303</f>
        <v>818128.42855384632</v>
      </c>
    </row>
    <row r="289" spans="1:6" ht="18">
      <c r="A289" s="91"/>
      <c r="B289" s="60" t="s">
        <v>2</v>
      </c>
      <c r="C289" s="44"/>
      <c r="D289" s="133"/>
      <c r="E289" s="133"/>
      <c r="F289" s="155"/>
    </row>
    <row r="290" spans="1:6" ht="18">
      <c r="A290" s="91"/>
      <c r="B290" s="48" t="str">
        <f>'[1]Emulsion Paint'!$B$22</f>
        <v>Emulsion paint ( 3 coats)</v>
      </c>
      <c r="C290" s="44" t="s">
        <v>57</v>
      </c>
      <c r="D290" s="133">
        <f>D288*0.07*3</f>
        <v>40.252800000000008</v>
      </c>
      <c r="E290" s="133">
        <v>5000</v>
      </c>
      <c r="F290" s="155">
        <f t="shared" ref="F290:F297" si="1">E290*D290</f>
        <v>201264.00000000003</v>
      </c>
    </row>
    <row r="291" spans="1:6" ht="18">
      <c r="A291" s="231"/>
      <c r="B291" s="48" t="str">
        <f>'[1]Emulsion Paint'!$B$20</f>
        <v>Whiting/stucco ( 2 coats)</v>
      </c>
      <c r="C291" s="44" t="s">
        <v>67</v>
      </c>
      <c r="D291" s="133">
        <f>D288*((50*2)/65)*2</f>
        <v>589.78461538461545</v>
      </c>
      <c r="E291" s="133">
        <f>16000/50</f>
        <v>320</v>
      </c>
      <c r="F291" s="155">
        <f t="shared" si="1"/>
        <v>188731.07692307694</v>
      </c>
    </row>
    <row r="292" spans="1:6" ht="18">
      <c r="A292" s="92"/>
      <c r="B292" s="48" t="str">
        <f>'[1]Emulsion Paint'!$B$19</f>
        <v>Induit/undercoat ( 2 coats)</v>
      </c>
      <c r="C292" s="44" t="s">
        <v>57</v>
      </c>
      <c r="D292" s="133">
        <f>D288*0.07*2</f>
        <v>26.835200000000004</v>
      </c>
      <c r="E292" s="133">
        <f>20000/20</f>
        <v>1000</v>
      </c>
      <c r="F292" s="155">
        <f t="shared" si="1"/>
        <v>26835.200000000004</v>
      </c>
    </row>
    <row r="293" spans="1:6" ht="18">
      <c r="A293" s="92"/>
      <c r="B293" s="48" t="s">
        <v>68</v>
      </c>
      <c r="C293" s="44" t="s">
        <v>57</v>
      </c>
      <c r="D293" s="133">
        <f>D288*((30/65)*2)</f>
        <v>176.93538461538463</v>
      </c>
      <c r="E293" s="133">
        <f>20000/20</f>
        <v>1000</v>
      </c>
      <c r="F293" s="155">
        <f t="shared" si="1"/>
        <v>176935.38461538462</v>
      </c>
    </row>
    <row r="294" spans="1:6" ht="18">
      <c r="A294" s="92"/>
      <c r="B294" s="48" t="str">
        <f>'[1]Emulsion Paint'!$B$21</f>
        <v>Colle</v>
      </c>
      <c r="C294" s="44" t="s">
        <v>69</v>
      </c>
      <c r="D294" s="133">
        <f>D288*((1/65)*2)</f>
        <v>5.897846153846154</v>
      </c>
      <c r="E294" s="133">
        <f>10500</f>
        <v>10500</v>
      </c>
      <c r="F294" s="155">
        <f t="shared" si="1"/>
        <v>61927.384615384617</v>
      </c>
    </row>
    <row r="295" spans="1:6" ht="18">
      <c r="A295" s="92"/>
      <c r="B295" s="48" t="str">
        <f>'[1]Emulsion Paint'!$B$24</f>
        <v>Roller</v>
      </c>
      <c r="C295" s="44" t="s">
        <v>44</v>
      </c>
      <c r="D295" s="118">
        <f>D288/100</f>
        <v>1.9168000000000001</v>
      </c>
      <c r="E295" s="133">
        <v>2000</v>
      </c>
      <c r="F295" s="155">
        <f t="shared" si="1"/>
        <v>3833.6</v>
      </c>
    </row>
    <row r="296" spans="1:6" ht="18">
      <c r="A296" s="92"/>
      <c r="B296" s="48" t="str">
        <f>'[1]Emulsion Paint'!$B$23</f>
        <v>Brush</v>
      </c>
      <c r="C296" s="44" t="s">
        <v>44</v>
      </c>
      <c r="D296" s="118">
        <f>D288/100</f>
        <v>1.9168000000000001</v>
      </c>
      <c r="E296" s="133">
        <v>1000</v>
      </c>
      <c r="F296" s="155">
        <f t="shared" si="1"/>
        <v>1916.8</v>
      </c>
    </row>
    <row r="297" spans="1:6" ht="18">
      <c r="A297" s="92"/>
      <c r="B297" s="48" t="s">
        <v>58</v>
      </c>
      <c r="C297" s="44" t="s">
        <v>59</v>
      </c>
      <c r="D297" s="118">
        <f>D288/100</f>
        <v>1.9168000000000001</v>
      </c>
      <c r="E297" s="133">
        <v>500</v>
      </c>
      <c r="F297" s="155">
        <f t="shared" si="1"/>
        <v>958.4</v>
      </c>
    </row>
    <row r="298" spans="1:6" ht="19.5">
      <c r="A298" s="93"/>
      <c r="B298" s="60" t="s">
        <v>5</v>
      </c>
      <c r="C298" s="61"/>
      <c r="D298" s="121"/>
      <c r="E298" s="135"/>
      <c r="F298" s="162">
        <f>SUM(F290:F297)</f>
        <v>662401.84615384636</v>
      </c>
    </row>
    <row r="299" spans="1:6" ht="18">
      <c r="A299" s="92"/>
      <c r="B299" s="48"/>
      <c r="C299" s="44"/>
      <c r="D299" s="118"/>
      <c r="E299" s="133"/>
      <c r="F299" s="155"/>
    </row>
    <row r="300" spans="1:6" ht="18">
      <c r="A300" s="92"/>
      <c r="B300" s="60" t="s">
        <v>6</v>
      </c>
      <c r="C300" s="44"/>
      <c r="D300" s="133"/>
      <c r="E300" s="133"/>
      <c r="F300" s="155"/>
    </row>
    <row r="301" spans="1:6" ht="18">
      <c r="A301" s="92"/>
      <c r="B301" s="48" t="s">
        <v>7</v>
      </c>
      <c r="C301" s="44" t="s">
        <v>62</v>
      </c>
      <c r="D301" s="133">
        <f>D302</f>
        <v>14.1364</v>
      </c>
      <c r="E301" s="133">
        <v>4000</v>
      </c>
      <c r="F301" s="155">
        <f>E301*D301</f>
        <v>56545.599999999999</v>
      </c>
    </row>
    <row r="302" spans="1:6" ht="18">
      <c r="A302" s="92"/>
      <c r="B302" s="48" t="s">
        <v>70</v>
      </c>
      <c r="C302" s="44" t="s">
        <v>62</v>
      </c>
      <c r="D302" s="133">
        <f>D288*(0.59/8)</f>
        <v>14.1364</v>
      </c>
      <c r="E302" s="133">
        <v>7016</v>
      </c>
      <c r="F302" s="155">
        <f>E302*D302</f>
        <v>99180.982399999994</v>
      </c>
    </row>
    <row r="303" spans="1:6" ht="19.5">
      <c r="A303" s="93"/>
      <c r="B303" s="60" t="s">
        <v>54</v>
      </c>
      <c r="C303" s="61"/>
      <c r="D303" s="135"/>
      <c r="E303" s="135"/>
      <c r="F303" s="162">
        <f>SUM(F301:F302)</f>
        <v>155726.58239999998</v>
      </c>
    </row>
    <row r="304" spans="1:6" ht="19.5">
      <c r="A304" s="93"/>
      <c r="B304" s="60"/>
      <c r="C304" s="61"/>
      <c r="D304" s="135"/>
      <c r="E304" s="135"/>
      <c r="F304" s="162"/>
    </row>
    <row r="305" spans="1:6" ht="37.65" customHeight="1">
      <c r="A305" s="321">
        <v>17</v>
      </c>
      <c r="B305" s="475" t="s">
        <v>133</v>
      </c>
      <c r="C305" s="475"/>
      <c r="D305" s="475"/>
      <c r="E305" s="475"/>
      <c r="F305" s="476"/>
    </row>
    <row r="306" spans="1:6" s="26" customFormat="1" ht="18">
      <c r="A306" s="1">
        <v>17.010000000000002</v>
      </c>
      <c r="B306" s="2" t="s">
        <v>130</v>
      </c>
      <c r="C306" s="274" t="s">
        <v>131</v>
      </c>
      <c r="D306" s="272">
        <v>2</v>
      </c>
      <c r="E306" s="134">
        <f>F306/D306</f>
        <v>608380</v>
      </c>
      <c r="F306" s="160">
        <f>F309+F314</f>
        <v>1216760</v>
      </c>
    </row>
    <row r="307" spans="1:6" s="26" customFormat="1" ht="18">
      <c r="A307" s="229"/>
      <c r="B307" s="8" t="s">
        <v>29</v>
      </c>
      <c r="C307" s="9"/>
      <c r="D307" s="133"/>
      <c r="E307" s="133"/>
      <c r="F307" s="155"/>
    </row>
    <row r="308" spans="1:6" ht="18">
      <c r="A308" s="86"/>
      <c r="B308" s="13" t="s">
        <v>145</v>
      </c>
      <c r="C308" s="9" t="s">
        <v>146</v>
      </c>
      <c r="D308" s="133">
        <f>D306</f>
        <v>2</v>
      </c>
      <c r="E308" s="133">
        <v>595000</v>
      </c>
      <c r="F308" s="155">
        <f>+D308*E308</f>
        <v>1190000</v>
      </c>
    </row>
    <row r="309" spans="1:6" s="82" customFormat="1" ht="19.649999999999999" customHeight="1">
      <c r="A309" s="87"/>
      <c r="B309" s="8" t="s">
        <v>5</v>
      </c>
      <c r="C309" s="12"/>
      <c r="D309" s="135"/>
      <c r="E309" s="135"/>
      <c r="F309" s="162">
        <f>F308</f>
        <v>1190000</v>
      </c>
    </row>
    <row r="310" spans="1:6" s="26" customFormat="1" ht="18">
      <c r="A310" s="86"/>
      <c r="B310" s="13"/>
      <c r="C310" s="9"/>
      <c r="D310" s="133"/>
      <c r="E310" s="133"/>
      <c r="F310" s="155"/>
    </row>
    <row r="311" spans="1:6" ht="18">
      <c r="A311" s="230"/>
      <c r="B311" s="8" t="s">
        <v>33</v>
      </c>
      <c r="C311" s="9"/>
      <c r="D311" s="133"/>
      <c r="E311" s="133"/>
      <c r="F311" s="155"/>
    </row>
    <row r="312" spans="1:6" s="81" customFormat="1" ht="18">
      <c r="A312" s="86"/>
      <c r="B312" s="13" t="s">
        <v>34</v>
      </c>
      <c r="C312" s="9" t="s">
        <v>21</v>
      </c>
      <c r="D312" s="118">
        <f>D308/2</f>
        <v>1</v>
      </c>
      <c r="E312" s="133">
        <v>10760</v>
      </c>
      <c r="F312" s="155">
        <f>+D312*E312</f>
        <v>10760</v>
      </c>
    </row>
    <row r="313" spans="1:6" s="264" customFormat="1" ht="18">
      <c r="A313" s="86"/>
      <c r="B313" s="13" t="s">
        <v>7</v>
      </c>
      <c r="C313" s="9" t="s">
        <v>21</v>
      </c>
      <c r="D313" s="118">
        <f>+D312*4</f>
        <v>4</v>
      </c>
      <c r="E313" s="133">
        <v>4000</v>
      </c>
      <c r="F313" s="155">
        <f>+D313*E313</f>
        <v>16000</v>
      </c>
    </row>
    <row r="314" spans="1:6" ht="19.5">
      <c r="A314" s="87"/>
      <c r="B314" s="8" t="s">
        <v>39</v>
      </c>
      <c r="C314" s="12"/>
      <c r="D314" s="135"/>
      <c r="E314" s="135"/>
      <c r="F314" s="162">
        <f>SUM(F312:F313)</f>
        <v>26760</v>
      </c>
    </row>
    <row r="315" spans="1:6" s="89" customFormat="1" ht="18">
      <c r="A315" s="1">
        <v>17.02</v>
      </c>
      <c r="B315" s="2" t="s">
        <v>132</v>
      </c>
      <c r="C315" s="274" t="s">
        <v>131</v>
      </c>
      <c r="D315" s="272">
        <v>2</v>
      </c>
      <c r="E315" s="134"/>
      <c r="F315" s="160">
        <f>F318+F323</f>
        <v>1046760</v>
      </c>
    </row>
    <row r="316" spans="1:6" ht="18.649999999999999" customHeight="1">
      <c r="A316" s="229"/>
      <c r="B316" s="8" t="s">
        <v>29</v>
      </c>
      <c r="C316" s="9"/>
      <c r="D316" s="133"/>
      <c r="E316" s="133"/>
      <c r="F316" s="155"/>
    </row>
    <row r="317" spans="1:6" ht="17.399999999999999" customHeight="1">
      <c r="A317" s="86"/>
      <c r="B317" s="13" t="s">
        <v>145</v>
      </c>
      <c r="C317" s="9" t="s">
        <v>146</v>
      </c>
      <c r="D317" s="133">
        <v>2</v>
      </c>
      <c r="E317" s="133">
        <v>510000</v>
      </c>
      <c r="F317" s="155">
        <f>+D317*E317</f>
        <v>1020000</v>
      </c>
    </row>
    <row r="318" spans="1:6" ht="19.5">
      <c r="A318" s="87"/>
      <c r="B318" s="8" t="s">
        <v>5</v>
      </c>
      <c r="C318" s="12"/>
      <c r="D318" s="135"/>
      <c r="E318" s="135"/>
      <c r="F318" s="162">
        <f>F317</f>
        <v>1020000</v>
      </c>
    </row>
    <row r="319" spans="1:6" ht="18">
      <c r="A319" s="86"/>
      <c r="B319" s="13"/>
      <c r="C319" s="9"/>
      <c r="D319" s="133"/>
      <c r="E319" s="133"/>
      <c r="F319" s="155"/>
    </row>
    <row r="320" spans="1:6" ht="18">
      <c r="A320" s="230"/>
      <c r="B320" s="8" t="s">
        <v>33</v>
      </c>
      <c r="C320" s="9"/>
      <c r="D320" s="133"/>
      <c r="E320" s="133"/>
      <c r="F320" s="155"/>
    </row>
    <row r="321" spans="1:6" ht="18">
      <c r="A321" s="86"/>
      <c r="B321" s="13" t="s">
        <v>34</v>
      </c>
      <c r="C321" s="9" t="s">
        <v>21</v>
      </c>
      <c r="D321" s="118">
        <f>D315/2</f>
        <v>1</v>
      </c>
      <c r="E321" s="133">
        <v>10760</v>
      </c>
      <c r="F321" s="155">
        <f>+D321*E321</f>
        <v>10760</v>
      </c>
    </row>
    <row r="322" spans="1:6" ht="18">
      <c r="A322" s="86"/>
      <c r="B322" s="13" t="s">
        <v>7</v>
      </c>
      <c r="C322" s="9" t="s">
        <v>21</v>
      </c>
      <c r="D322" s="118">
        <f>+D321*4</f>
        <v>4</v>
      </c>
      <c r="E322" s="133">
        <v>4000</v>
      </c>
      <c r="F322" s="155">
        <f>+D322*E322</f>
        <v>16000</v>
      </c>
    </row>
    <row r="323" spans="1:6" ht="19.5">
      <c r="A323" s="87"/>
      <c r="B323" s="8" t="s">
        <v>39</v>
      </c>
      <c r="C323" s="12"/>
      <c r="D323" s="135"/>
      <c r="E323" s="135"/>
      <c r="F323" s="162">
        <f>SUM(F321:F322)</f>
        <v>26760</v>
      </c>
    </row>
    <row r="324" spans="1:6">
      <c r="A324" s="322"/>
      <c r="B324" s="48"/>
      <c r="C324" s="311"/>
      <c r="D324" s="323"/>
      <c r="E324" s="313"/>
      <c r="F324" s="314"/>
    </row>
    <row r="325" spans="1:6" ht="34.65" customHeight="1">
      <c r="A325" s="321">
        <v>18</v>
      </c>
      <c r="B325" s="475" t="s">
        <v>134</v>
      </c>
      <c r="C325" s="475"/>
      <c r="D325" s="475"/>
      <c r="E325" s="475"/>
      <c r="F325" s="476"/>
    </row>
    <row r="326" spans="1:6" ht="18">
      <c r="A326" s="1">
        <v>18.010000000000002</v>
      </c>
      <c r="B326" s="2" t="s">
        <v>135</v>
      </c>
      <c r="C326" s="274" t="s">
        <v>131</v>
      </c>
      <c r="D326" s="272">
        <v>2</v>
      </c>
      <c r="E326" s="286">
        <f>F326/D326</f>
        <v>793380</v>
      </c>
      <c r="F326" s="324">
        <f>F329+F334</f>
        <v>1586760</v>
      </c>
    </row>
    <row r="327" spans="1:6" ht="18">
      <c r="A327" s="229"/>
      <c r="B327" s="8" t="s">
        <v>29</v>
      </c>
      <c r="C327" s="9"/>
      <c r="D327" s="133"/>
      <c r="E327" s="133"/>
      <c r="F327" s="155"/>
    </row>
    <row r="328" spans="1:6" ht="18">
      <c r="A328" s="86"/>
      <c r="B328" s="13" t="s">
        <v>168</v>
      </c>
      <c r="C328" s="9" t="s">
        <v>146</v>
      </c>
      <c r="D328" s="133">
        <f>D326</f>
        <v>2</v>
      </c>
      <c r="E328" s="133">
        <v>780000</v>
      </c>
      <c r="F328" s="155">
        <f>+D328*E328</f>
        <v>1560000</v>
      </c>
    </row>
    <row r="329" spans="1:6" ht="19.5">
      <c r="A329" s="87"/>
      <c r="B329" s="8" t="s">
        <v>5</v>
      </c>
      <c r="C329" s="12"/>
      <c r="D329" s="135"/>
      <c r="E329" s="135"/>
      <c r="F329" s="162">
        <f>F328</f>
        <v>1560000</v>
      </c>
    </row>
    <row r="330" spans="1:6" ht="18">
      <c r="A330" s="86"/>
      <c r="B330" s="13"/>
      <c r="C330" s="9"/>
      <c r="D330" s="133"/>
      <c r="E330" s="133"/>
      <c r="F330" s="155"/>
    </row>
    <row r="331" spans="1:6" ht="18">
      <c r="A331" s="230"/>
      <c r="B331" s="8" t="s">
        <v>33</v>
      </c>
      <c r="C331" s="9"/>
      <c r="D331" s="133"/>
      <c r="E331" s="133"/>
      <c r="F331" s="155"/>
    </row>
    <row r="332" spans="1:6" ht="18">
      <c r="A332" s="86"/>
      <c r="B332" s="13" t="s">
        <v>34</v>
      </c>
      <c r="C332" s="9" t="s">
        <v>21</v>
      </c>
      <c r="D332" s="118">
        <f>D326/2</f>
        <v>1</v>
      </c>
      <c r="E332" s="133">
        <v>10760</v>
      </c>
      <c r="F332" s="155">
        <f>+D332*E332</f>
        <v>10760</v>
      </c>
    </row>
    <row r="333" spans="1:6" ht="18">
      <c r="A333" s="86"/>
      <c r="B333" s="13" t="s">
        <v>7</v>
      </c>
      <c r="C333" s="9" t="s">
        <v>21</v>
      </c>
      <c r="D333" s="118">
        <f>+D332*4</f>
        <v>4</v>
      </c>
      <c r="E333" s="133">
        <v>4000</v>
      </c>
      <c r="F333" s="155">
        <f>+D333*E333</f>
        <v>16000</v>
      </c>
    </row>
    <row r="334" spans="1:6" ht="19.5">
      <c r="A334" s="348"/>
      <c r="B334" s="318" t="s">
        <v>39</v>
      </c>
      <c r="C334" s="244"/>
      <c r="D334" s="197"/>
      <c r="E334" s="197"/>
      <c r="F334" s="198">
        <f>SUM(F332:F333)</f>
        <v>26760</v>
      </c>
    </row>
    <row r="335" spans="1:6" s="347" customFormat="1" ht="36.5">
      <c r="A335" s="345"/>
      <c r="B335" s="477" t="s">
        <v>179</v>
      </c>
      <c r="C335" s="477"/>
      <c r="D335" s="477"/>
      <c r="E335" s="477"/>
      <c r="F335" s="346">
        <f>F326+F315+F306+F288+F275+F259+F247+F235+F216+F196+F182+F171+F160+F147+F136+F125+F112+F100+F89+F78+F58+F40+F30+F22+F14+F7+F3</f>
        <v>11716124.941038033</v>
      </c>
    </row>
    <row r="355" spans="3:6" ht="18.649999999999999" customHeight="1"/>
    <row r="356" spans="3:6" s="63" customFormat="1" ht="18.649999999999999" customHeight="1">
      <c r="C356" s="275"/>
      <c r="D356" s="276"/>
      <c r="E356" s="357"/>
      <c r="F356" s="357"/>
    </row>
  </sheetData>
  <mergeCells count="15">
    <mergeCell ref="B325:F325"/>
    <mergeCell ref="B335:E335"/>
    <mergeCell ref="B2:F2"/>
    <mergeCell ref="B13:F13"/>
    <mergeCell ref="B39:F39"/>
    <mergeCell ref="B77:F77"/>
    <mergeCell ref="B124:F124"/>
    <mergeCell ref="B305:F305"/>
    <mergeCell ref="B287:F287"/>
    <mergeCell ref="B274:F274"/>
    <mergeCell ref="B246:F246"/>
    <mergeCell ref="B181:F181"/>
    <mergeCell ref="B159:F159"/>
    <mergeCell ref="B195:F195"/>
    <mergeCell ref="B215:F2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6"/>
  <sheetViews>
    <sheetView workbookViewId="0">
      <selection activeCell="B333" sqref="B333"/>
    </sheetView>
  </sheetViews>
  <sheetFormatPr defaultColWidth="8.90625" defaultRowHeight="15.5"/>
  <cols>
    <col min="1" max="1" width="8.90625" style="232"/>
    <col min="2" max="2" width="73.90625" style="107" customWidth="1"/>
    <col min="3" max="3" width="8.90625" style="110"/>
    <col min="4" max="4" width="17.08984375" style="132" customWidth="1"/>
    <col min="5" max="5" width="19.08984375" style="285" customWidth="1"/>
    <col min="6" max="6" width="27.08984375" style="285" customWidth="1"/>
  </cols>
  <sheetData>
    <row r="1" spans="1:6" s="70" customFormat="1" ht="44.4" customHeight="1">
      <c r="A1" s="228"/>
      <c r="B1" s="150" t="s">
        <v>120</v>
      </c>
      <c r="C1" s="150" t="s">
        <v>121</v>
      </c>
      <c r="D1" s="150" t="s">
        <v>122</v>
      </c>
      <c r="E1" s="278" t="s">
        <v>123</v>
      </c>
      <c r="F1" s="289" t="s">
        <v>124</v>
      </c>
    </row>
    <row r="2" spans="1:6" ht="18" customHeight="1">
      <c r="A2" s="151">
        <v>1</v>
      </c>
      <c r="B2" s="478" t="s">
        <v>93</v>
      </c>
      <c r="C2" s="478"/>
      <c r="D2" s="478"/>
      <c r="E2" s="478"/>
      <c r="F2" s="479"/>
    </row>
    <row r="3" spans="1:6" ht="18" customHeight="1">
      <c r="A3" s="199">
        <v>1.01</v>
      </c>
      <c r="B3" s="16" t="s">
        <v>94</v>
      </c>
      <c r="C3" s="35" t="s">
        <v>28</v>
      </c>
      <c r="D3" s="125">
        <f>20*0.8*0.4</f>
        <v>6.4</v>
      </c>
      <c r="E3" s="138">
        <f>SUM(F3)/D3</f>
        <v>4444.4444444444443</v>
      </c>
      <c r="F3" s="153">
        <f>F6</f>
        <v>28444.444444444445</v>
      </c>
    </row>
    <row r="4" spans="1:6" ht="18" customHeight="1">
      <c r="A4" s="200"/>
      <c r="B4" s="8" t="s">
        <v>6</v>
      </c>
      <c r="C4" s="9"/>
      <c r="D4" s="114"/>
      <c r="E4" s="133"/>
      <c r="F4" s="155"/>
    </row>
    <row r="5" spans="1:6" ht="18" customHeight="1">
      <c r="A5" s="200"/>
      <c r="B5" s="13" t="s">
        <v>7</v>
      </c>
      <c r="C5" s="9" t="s">
        <v>8</v>
      </c>
      <c r="D5" s="118">
        <f>D3/0.9</f>
        <v>7.1111111111111116</v>
      </c>
      <c r="E5" s="133">
        <v>4000</v>
      </c>
      <c r="F5" s="155">
        <f>+D5*E5</f>
        <v>28444.444444444445</v>
      </c>
    </row>
    <row r="6" spans="1:6" ht="18" customHeight="1">
      <c r="A6" s="174"/>
      <c r="B6" s="60" t="s">
        <v>9</v>
      </c>
      <c r="C6" s="61"/>
      <c r="D6" s="120"/>
      <c r="E6" s="279"/>
      <c r="F6" s="290">
        <f>F5</f>
        <v>28444.444444444445</v>
      </c>
    </row>
    <row r="7" spans="1:6" ht="18" customHeight="1">
      <c r="A7" s="199">
        <v>1.03</v>
      </c>
      <c r="B7" s="16" t="s">
        <v>114</v>
      </c>
      <c r="C7" s="35" t="s">
        <v>28</v>
      </c>
      <c r="D7" s="125">
        <f>(0.75*0.75*1.25)*4</f>
        <v>2.8125</v>
      </c>
      <c r="E7" s="138">
        <f>SUM(F7)/D7</f>
        <v>5640</v>
      </c>
      <c r="F7" s="153">
        <f>F11</f>
        <v>15862.5</v>
      </c>
    </row>
    <row r="8" spans="1:6" ht="18" customHeight="1">
      <c r="A8" s="200"/>
      <c r="B8" s="8" t="s">
        <v>6</v>
      </c>
      <c r="C8" s="9"/>
      <c r="D8" s="118"/>
      <c r="E8" s="133"/>
      <c r="F8" s="155"/>
    </row>
    <row r="9" spans="1:6" ht="18" customHeight="1">
      <c r="A9" s="200"/>
      <c r="B9" s="13" t="s">
        <v>92</v>
      </c>
      <c r="C9" s="9" t="s">
        <v>8</v>
      </c>
      <c r="D9" s="118">
        <f>D10/10</f>
        <v>0.3125</v>
      </c>
      <c r="E9" s="133">
        <v>10760</v>
      </c>
      <c r="F9" s="155">
        <f>D9*E9</f>
        <v>3362.5</v>
      </c>
    </row>
    <row r="10" spans="1:6" ht="18" customHeight="1">
      <c r="A10" s="200"/>
      <c r="B10" s="13" t="s">
        <v>7</v>
      </c>
      <c r="C10" s="9" t="s">
        <v>8</v>
      </c>
      <c r="D10" s="118">
        <f>D7/0.9</f>
        <v>3.125</v>
      </c>
      <c r="E10" s="133">
        <v>4000</v>
      </c>
      <c r="F10" s="155">
        <f>+D10*E10</f>
        <v>12500</v>
      </c>
    </row>
    <row r="11" spans="1:6" s="54" customFormat="1" ht="19.399999999999999" customHeight="1">
      <c r="A11" s="174"/>
      <c r="B11" s="60" t="s">
        <v>9</v>
      </c>
      <c r="C11" s="61"/>
      <c r="D11" s="115"/>
      <c r="E11" s="279"/>
      <c r="F11" s="290">
        <f>SUM(F9:F10)</f>
        <v>15862.5</v>
      </c>
    </row>
    <row r="12" spans="1:6" ht="19.399999999999999" customHeight="1">
      <c r="A12" s="201"/>
      <c r="B12" s="60"/>
      <c r="C12" s="44"/>
      <c r="D12" s="116"/>
      <c r="E12" s="280"/>
      <c r="F12" s="291"/>
    </row>
    <row r="13" spans="1:6" ht="34.4" customHeight="1">
      <c r="A13" s="158">
        <v>2</v>
      </c>
      <c r="B13" s="480" t="s">
        <v>0</v>
      </c>
      <c r="C13" s="480"/>
      <c r="D13" s="480"/>
      <c r="E13" s="480"/>
      <c r="F13" s="481"/>
    </row>
    <row r="14" spans="1:6" ht="18" customHeight="1">
      <c r="A14" s="202">
        <v>2.0099999999999998</v>
      </c>
      <c r="B14" s="2" t="s">
        <v>71</v>
      </c>
      <c r="C14" s="3" t="s">
        <v>1</v>
      </c>
      <c r="D14" s="117">
        <f>20*0.4</f>
        <v>8</v>
      </c>
      <c r="E14" s="134">
        <f>F14/D14</f>
        <v>1066.6666666666667</v>
      </c>
      <c r="F14" s="160">
        <f>F16+F20</f>
        <v>8533.3333333333339</v>
      </c>
    </row>
    <row r="15" spans="1:6" ht="18" customHeight="1">
      <c r="A15" s="200"/>
      <c r="B15" s="8" t="s">
        <v>2</v>
      </c>
      <c r="C15" s="9"/>
      <c r="D15" s="118"/>
      <c r="E15" s="133"/>
      <c r="F15" s="155"/>
    </row>
    <row r="16" spans="1:6" ht="18" customHeight="1">
      <c r="A16" s="200"/>
      <c r="B16" s="48" t="s">
        <v>3</v>
      </c>
      <c r="C16" s="9" t="s">
        <v>4</v>
      </c>
      <c r="D16" s="118">
        <f>D14/10</f>
        <v>0.8</v>
      </c>
      <c r="E16" s="133">
        <v>10000</v>
      </c>
      <c r="F16" s="155">
        <f>D16*E16</f>
        <v>8000</v>
      </c>
    </row>
    <row r="17" spans="1:6" ht="18" customHeight="1">
      <c r="A17" s="170"/>
      <c r="B17" s="60" t="s">
        <v>5</v>
      </c>
      <c r="C17" s="12"/>
      <c r="D17" s="121"/>
      <c r="E17" s="135"/>
      <c r="F17" s="162">
        <f>SUM(F16)</f>
        <v>8000</v>
      </c>
    </row>
    <row r="18" spans="1:6" ht="18" customHeight="1">
      <c r="A18" s="200"/>
      <c r="B18" s="48"/>
      <c r="C18" s="9"/>
      <c r="D18" s="118"/>
      <c r="E18" s="133"/>
      <c r="F18" s="155"/>
    </row>
    <row r="19" spans="1:6" ht="18" customHeight="1">
      <c r="A19" s="200"/>
      <c r="B19" s="8" t="s">
        <v>6</v>
      </c>
      <c r="C19" s="9"/>
      <c r="D19" s="118"/>
      <c r="E19" s="133"/>
      <c r="F19" s="155"/>
    </row>
    <row r="20" spans="1:6" ht="18" customHeight="1">
      <c r="A20" s="200"/>
      <c r="B20" s="13" t="s">
        <v>7</v>
      </c>
      <c r="C20" s="9" t="s">
        <v>8</v>
      </c>
      <c r="D20" s="118">
        <f>D14/60</f>
        <v>0.13333333333333333</v>
      </c>
      <c r="E20" s="133">
        <v>4000</v>
      </c>
      <c r="F20" s="155">
        <f>D20*E20</f>
        <v>533.33333333333337</v>
      </c>
    </row>
    <row r="21" spans="1:6" ht="18" customHeight="1">
      <c r="A21" s="174"/>
      <c r="B21" s="60" t="s">
        <v>9</v>
      </c>
      <c r="C21" s="61"/>
      <c r="D21" s="120"/>
      <c r="E21" s="279"/>
      <c r="F21" s="290">
        <f>F20</f>
        <v>533.33333333333337</v>
      </c>
    </row>
    <row r="22" spans="1:6" ht="18" customHeight="1">
      <c r="A22" s="202">
        <v>2.02</v>
      </c>
      <c r="B22" s="2" t="s">
        <v>97</v>
      </c>
      <c r="C22" s="3" t="s">
        <v>1</v>
      </c>
      <c r="D22" s="117">
        <v>25</v>
      </c>
      <c r="E22" s="134">
        <f>F22/D22</f>
        <v>1066.6666666666667</v>
      </c>
      <c r="F22" s="160">
        <f>F24+F28</f>
        <v>26666.666666666668</v>
      </c>
    </row>
    <row r="23" spans="1:6" ht="18" customHeight="1">
      <c r="A23" s="200"/>
      <c r="B23" s="8" t="s">
        <v>2</v>
      </c>
      <c r="C23" s="9"/>
      <c r="D23" s="118"/>
      <c r="E23" s="133"/>
      <c r="F23" s="155"/>
    </row>
    <row r="24" spans="1:6" ht="18" customHeight="1">
      <c r="A24" s="200"/>
      <c r="B24" s="48" t="s">
        <v>3</v>
      </c>
      <c r="C24" s="9" t="s">
        <v>4</v>
      </c>
      <c r="D24" s="118">
        <f>D22/10</f>
        <v>2.5</v>
      </c>
      <c r="E24" s="133">
        <v>10000</v>
      </c>
      <c r="F24" s="155">
        <f>D24*E24</f>
        <v>25000</v>
      </c>
    </row>
    <row r="25" spans="1:6" ht="18" customHeight="1">
      <c r="A25" s="170"/>
      <c r="B25" s="60" t="s">
        <v>5</v>
      </c>
      <c r="C25" s="12"/>
      <c r="D25" s="121"/>
      <c r="E25" s="135"/>
      <c r="F25" s="162">
        <f>SUM(F24)</f>
        <v>25000</v>
      </c>
    </row>
    <row r="26" spans="1:6" ht="18" customHeight="1">
      <c r="A26" s="200"/>
      <c r="B26" s="48"/>
      <c r="C26" s="9"/>
      <c r="D26" s="118"/>
      <c r="E26" s="133"/>
      <c r="F26" s="155"/>
    </row>
    <row r="27" spans="1:6" ht="18" customHeight="1">
      <c r="A27" s="200"/>
      <c r="B27" s="8" t="s">
        <v>6</v>
      </c>
      <c r="C27" s="9"/>
      <c r="D27" s="118"/>
      <c r="E27" s="133"/>
      <c r="F27" s="155"/>
    </row>
    <row r="28" spans="1:6" ht="18" customHeight="1">
      <c r="A28" s="200"/>
      <c r="B28" s="13" t="s">
        <v>7</v>
      </c>
      <c r="C28" s="9" t="s">
        <v>8</v>
      </c>
      <c r="D28" s="118">
        <f>D22/60</f>
        <v>0.41666666666666669</v>
      </c>
      <c r="E28" s="133">
        <v>4000</v>
      </c>
      <c r="F28" s="155">
        <f>D28*E28</f>
        <v>1666.6666666666667</v>
      </c>
    </row>
    <row r="29" spans="1:6" ht="18" customHeight="1">
      <c r="A29" s="174"/>
      <c r="B29" s="60" t="s">
        <v>9</v>
      </c>
      <c r="C29" s="61"/>
      <c r="D29" s="120"/>
      <c r="E29" s="279"/>
      <c r="F29" s="290">
        <f>F28</f>
        <v>1666.6666666666667</v>
      </c>
    </row>
    <row r="30" spans="1:6" ht="18" customHeight="1">
      <c r="A30" s="199">
        <v>2.0299999999999998</v>
      </c>
      <c r="B30" s="16" t="s">
        <v>96</v>
      </c>
      <c r="C30" s="35" t="s">
        <v>1</v>
      </c>
      <c r="D30" s="125">
        <f>(0.75*0.75)*4</f>
        <v>2.25</v>
      </c>
      <c r="E30" s="138">
        <f>SUM(F30)/D30</f>
        <v>1066.6666666666667</v>
      </c>
      <c r="F30" s="153">
        <f>F33+F37</f>
        <v>2400</v>
      </c>
    </row>
    <row r="31" spans="1:6" ht="18" customHeight="1">
      <c r="A31" s="200"/>
      <c r="B31" s="8" t="s">
        <v>2</v>
      </c>
      <c r="C31" s="9"/>
      <c r="D31" s="118"/>
      <c r="E31" s="133"/>
      <c r="F31" s="155"/>
    </row>
    <row r="32" spans="1:6" ht="18" customHeight="1">
      <c r="A32" s="200"/>
      <c r="B32" s="48" t="s">
        <v>3</v>
      </c>
      <c r="C32" s="9" t="s">
        <v>4</v>
      </c>
      <c r="D32" s="118">
        <f>D30/10</f>
        <v>0.22500000000000001</v>
      </c>
      <c r="E32" s="133">
        <v>10000</v>
      </c>
      <c r="F32" s="155">
        <f>D32*E32</f>
        <v>2250</v>
      </c>
    </row>
    <row r="33" spans="1:6" ht="18" customHeight="1">
      <c r="A33" s="170"/>
      <c r="B33" s="60" t="s">
        <v>5</v>
      </c>
      <c r="C33" s="12"/>
      <c r="D33" s="121"/>
      <c r="E33" s="135"/>
      <c r="F33" s="162">
        <f>SUM(F32)</f>
        <v>2250</v>
      </c>
    </row>
    <row r="34" spans="1:6" ht="18" customHeight="1">
      <c r="A34" s="170"/>
      <c r="B34" s="60"/>
      <c r="C34" s="12"/>
      <c r="D34" s="121"/>
      <c r="E34" s="135"/>
      <c r="F34" s="162"/>
    </row>
    <row r="35" spans="1:6" ht="18" customHeight="1">
      <c r="A35" s="200"/>
      <c r="B35" s="8" t="s">
        <v>6</v>
      </c>
      <c r="C35" s="9"/>
      <c r="D35" s="118"/>
      <c r="E35" s="133"/>
      <c r="F35" s="155"/>
    </row>
    <row r="36" spans="1:6" ht="18" customHeight="1">
      <c r="A36" s="200"/>
      <c r="B36" s="13" t="s">
        <v>7</v>
      </c>
      <c r="C36" s="9" t="s">
        <v>8</v>
      </c>
      <c r="D36" s="118">
        <f>D30/60</f>
        <v>3.7499999999999999E-2</v>
      </c>
      <c r="E36" s="133">
        <v>4000</v>
      </c>
      <c r="F36" s="155">
        <f>+D36*E36</f>
        <v>150</v>
      </c>
    </row>
    <row r="37" spans="1:6" ht="18" customHeight="1">
      <c r="A37" s="174"/>
      <c r="B37" s="60" t="s">
        <v>9</v>
      </c>
      <c r="C37" s="61"/>
      <c r="D37" s="120"/>
      <c r="E37" s="279"/>
      <c r="F37" s="290">
        <f>SUM(F36:F36)</f>
        <v>150</v>
      </c>
    </row>
    <row r="38" spans="1:6" ht="18" customHeight="1">
      <c r="A38" s="174"/>
      <c r="B38" s="60"/>
      <c r="C38" s="61"/>
      <c r="D38" s="115"/>
      <c r="E38" s="279"/>
      <c r="F38" s="290"/>
    </row>
    <row r="39" spans="1:6" ht="18" customHeight="1">
      <c r="A39" s="163">
        <v>3</v>
      </c>
      <c r="B39" s="482" t="s">
        <v>77</v>
      </c>
      <c r="C39" s="482"/>
      <c r="D39" s="482"/>
      <c r="E39" s="482"/>
      <c r="F39" s="483"/>
    </row>
    <row r="40" spans="1:6" ht="18" customHeight="1">
      <c r="A40" s="199">
        <v>3.01</v>
      </c>
      <c r="B40" s="16" t="s">
        <v>71</v>
      </c>
      <c r="C40" s="3" t="s">
        <v>1</v>
      </c>
      <c r="D40" s="117">
        <f>20*0.4</f>
        <v>8</v>
      </c>
      <c r="E40" s="134">
        <f>SUM(F40)/D40</f>
        <v>5199.5494358974374</v>
      </c>
      <c r="F40" s="160">
        <f>F47+F51+F57</f>
        <v>41596.395487179499</v>
      </c>
    </row>
    <row r="41" spans="1:6" ht="18" customHeight="1">
      <c r="A41" s="203"/>
      <c r="B41" s="19"/>
      <c r="C41" s="20" t="s">
        <v>10</v>
      </c>
      <c r="D41" s="137">
        <f>D40*0.05</f>
        <v>0.4</v>
      </c>
      <c r="E41" s="136"/>
      <c r="F41" s="165"/>
    </row>
    <row r="42" spans="1:6" ht="18" customHeight="1">
      <c r="A42" s="204"/>
      <c r="B42" s="97" t="s">
        <v>2</v>
      </c>
      <c r="C42" s="23"/>
      <c r="D42" s="118"/>
      <c r="E42" s="133"/>
      <c r="F42" s="292"/>
    </row>
    <row r="43" spans="1:6" ht="18" customHeight="1">
      <c r="A43" s="204"/>
      <c r="B43" s="98" t="s">
        <v>11</v>
      </c>
      <c r="C43" s="23" t="s">
        <v>12</v>
      </c>
      <c r="D43" s="118">
        <f>D41*(1/13)*1.57*(1440/50)</f>
        <v>1.3912615384615388</v>
      </c>
      <c r="E43" s="133">
        <v>12000</v>
      </c>
      <c r="F43" s="292">
        <f>D43*E43</f>
        <v>16695.138461538467</v>
      </c>
    </row>
    <row r="44" spans="1:6" ht="18" customHeight="1">
      <c r="A44" s="204"/>
      <c r="B44" s="98" t="s">
        <v>13</v>
      </c>
      <c r="C44" s="23" t="s">
        <v>10</v>
      </c>
      <c r="D44" s="118">
        <f>D41*(4/13)*1.57</f>
        <v>0.19323076923076926</v>
      </c>
      <c r="E44" s="133">
        <v>25000</v>
      </c>
      <c r="F44" s="292">
        <f>D44*E44</f>
        <v>4830.7692307692314</v>
      </c>
    </row>
    <row r="45" spans="1:6" ht="18" customHeight="1">
      <c r="A45" s="204"/>
      <c r="B45" s="98" t="s">
        <v>14</v>
      </c>
      <c r="C45" s="23" t="s">
        <v>10</v>
      </c>
      <c r="D45" s="118">
        <f>D41*(8/13)*1.57</f>
        <v>0.38646153846153852</v>
      </c>
      <c r="E45" s="133">
        <v>25000</v>
      </c>
      <c r="F45" s="292">
        <f>D45*E45</f>
        <v>9661.5384615384628</v>
      </c>
    </row>
    <row r="46" spans="1:6" ht="18" customHeight="1">
      <c r="A46" s="204"/>
      <c r="B46" s="98" t="s">
        <v>15</v>
      </c>
      <c r="C46" s="23" t="s">
        <v>16</v>
      </c>
      <c r="D46" s="118">
        <f>D50*10</f>
        <v>0.66666666666666663</v>
      </c>
      <c r="E46" s="133">
        <v>1587</v>
      </c>
      <c r="F46" s="292">
        <f>D46*E46</f>
        <v>1058</v>
      </c>
    </row>
    <row r="47" spans="1:6" ht="18" customHeight="1">
      <c r="A47" s="168"/>
      <c r="B47" s="97" t="s">
        <v>18</v>
      </c>
      <c r="C47" s="28"/>
      <c r="D47" s="121"/>
      <c r="E47" s="135"/>
      <c r="F47" s="293">
        <f>SUM(F43:F46)</f>
        <v>32245.446153846162</v>
      </c>
    </row>
    <row r="48" spans="1:6" ht="18" customHeight="1">
      <c r="A48" s="204"/>
      <c r="B48" s="98"/>
      <c r="C48" s="23"/>
      <c r="D48" s="118"/>
      <c r="E48" s="133"/>
      <c r="F48" s="292"/>
    </row>
    <row r="49" spans="1:6" ht="18" customHeight="1">
      <c r="A49" s="204"/>
      <c r="B49" s="97" t="s">
        <v>19</v>
      </c>
      <c r="C49" s="23"/>
      <c r="D49" s="118"/>
      <c r="E49" s="133"/>
      <c r="F49" s="292"/>
    </row>
    <row r="50" spans="1:6" ht="18" customHeight="1">
      <c r="A50" s="204"/>
      <c r="B50" s="98" t="s">
        <v>20</v>
      </c>
      <c r="C50" s="23" t="s">
        <v>21</v>
      </c>
      <c r="D50" s="118">
        <f>D41/6</f>
        <v>6.6666666666666666E-2</v>
      </c>
      <c r="E50" s="133">
        <v>50000</v>
      </c>
      <c r="F50" s="292">
        <f>D50*E50</f>
        <v>3333.3333333333335</v>
      </c>
    </row>
    <row r="51" spans="1:6" ht="18" customHeight="1">
      <c r="A51" s="168"/>
      <c r="B51" s="97" t="s">
        <v>23</v>
      </c>
      <c r="C51" s="28"/>
      <c r="D51" s="121"/>
      <c r="E51" s="135"/>
      <c r="F51" s="293">
        <f>SUM(F50:F50)</f>
        <v>3333.3333333333335</v>
      </c>
    </row>
    <row r="52" spans="1:6" ht="18" customHeight="1">
      <c r="A52" s="204"/>
      <c r="B52" s="98"/>
      <c r="C52" s="23"/>
      <c r="D52" s="118"/>
      <c r="E52" s="133"/>
      <c r="F52" s="292"/>
    </row>
    <row r="53" spans="1:6" ht="18" customHeight="1">
      <c r="A53" s="204"/>
      <c r="B53" s="97" t="s">
        <v>6</v>
      </c>
      <c r="C53" s="23"/>
      <c r="D53" s="118"/>
      <c r="E53" s="133"/>
      <c r="F53" s="292"/>
    </row>
    <row r="54" spans="1:6" ht="18" customHeight="1">
      <c r="A54" s="204"/>
      <c r="B54" s="98" t="s">
        <v>24</v>
      </c>
      <c r="C54" s="23" t="s">
        <v>21</v>
      </c>
      <c r="D54" s="118">
        <f>(D41/6)*2</f>
        <v>0.13333333333333333</v>
      </c>
      <c r="E54" s="133">
        <v>6088.08</v>
      </c>
      <c r="F54" s="292">
        <f>D54*E54</f>
        <v>811.74400000000003</v>
      </c>
    </row>
    <row r="55" spans="1:6" ht="18" customHeight="1">
      <c r="A55" s="204"/>
      <c r="B55" s="98" t="s">
        <v>25</v>
      </c>
      <c r="C55" s="23" t="s">
        <v>21</v>
      </c>
      <c r="D55" s="118">
        <f>(D41/6)*18</f>
        <v>1.2</v>
      </c>
      <c r="E55" s="133">
        <v>4000</v>
      </c>
      <c r="F55" s="292">
        <f>D55*E55</f>
        <v>4800</v>
      </c>
    </row>
    <row r="56" spans="1:6" ht="18" customHeight="1">
      <c r="A56" s="204"/>
      <c r="B56" s="98" t="s">
        <v>26</v>
      </c>
      <c r="C56" s="23" t="s">
        <v>21</v>
      </c>
      <c r="D56" s="118">
        <f>D50</f>
        <v>6.6666666666666666E-2</v>
      </c>
      <c r="E56" s="133">
        <v>6088.08</v>
      </c>
      <c r="F56" s="292">
        <f>D56*E56</f>
        <v>405.87200000000001</v>
      </c>
    </row>
    <row r="57" spans="1:6" ht="18" customHeight="1">
      <c r="A57" s="168"/>
      <c r="B57" s="97" t="s">
        <v>27</v>
      </c>
      <c r="C57" s="28"/>
      <c r="D57" s="121"/>
      <c r="E57" s="135"/>
      <c r="F57" s="293">
        <f>SUM(F54:F56)</f>
        <v>6017.616</v>
      </c>
    </row>
    <row r="58" spans="1:6" ht="18" customHeight="1">
      <c r="A58" s="199">
        <v>3.02</v>
      </c>
      <c r="B58" s="16" t="s">
        <v>98</v>
      </c>
      <c r="C58" s="3" t="s">
        <v>1</v>
      </c>
      <c r="D58" s="117">
        <f>(0.75*0.75)*4</f>
        <v>2.25</v>
      </c>
      <c r="E58" s="134">
        <f>SUM(F58)/D58</f>
        <v>5199.5494358974356</v>
      </c>
      <c r="F58" s="160">
        <f>F65+F69+F75</f>
        <v>11698.986230769231</v>
      </c>
    </row>
    <row r="59" spans="1:6" ht="18" customHeight="1">
      <c r="A59" s="203"/>
      <c r="B59" s="19"/>
      <c r="C59" s="20" t="s">
        <v>10</v>
      </c>
      <c r="D59" s="137">
        <f>D58*0.05</f>
        <v>0.1125</v>
      </c>
      <c r="E59" s="136"/>
      <c r="F59" s="165"/>
    </row>
    <row r="60" spans="1:6" ht="18" customHeight="1">
      <c r="A60" s="204"/>
      <c r="B60" s="97" t="s">
        <v>2</v>
      </c>
      <c r="C60" s="23"/>
      <c r="D60" s="118"/>
      <c r="E60" s="133"/>
      <c r="F60" s="292"/>
    </row>
    <row r="61" spans="1:6" ht="18" customHeight="1">
      <c r="A61" s="204"/>
      <c r="B61" s="98" t="s">
        <v>11</v>
      </c>
      <c r="C61" s="23" t="s">
        <v>12</v>
      </c>
      <c r="D61" s="118">
        <f>D59*(1/13)*1.57*(1440/50)</f>
        <v>0.39129230769230772</v>
      </c>
      <c r="E61" s="133">
        <v>12000</v>
      </c>
      <c r="F61" s="292">
        <f>D61*E61</f>
        <v>4695.5076923076922</v>
      </c>
    </row>
    <row r="62" spans="1:6" ht="18" customHeight="1">
      <c r="A62" s="204"/>
      <c r="B62" s="98" t="s">
        <v>13</v>
      </c>
      <c r="C62" s="23" t="s">
        <v>10</v>
      </c>
      <c r="D62" s="118">
        <f>D59*(4/13)*1.57</f>
        <v>5.434615384615385E-2</v>
      </c>
      <c r="E62" s="133">
        <v>25000</v>
      </c>
      <c r="F62" s="292">
        <f>D62*E62</f>
        <v>1358.6538461538462</v>
      </c>
    </row>
    <row r="63" spans="1:6" ht="18" customHeight="1">
      <c r="A63" s="204"/>
      <c r="B63" s="98" t="s">
        <v>14</v>
      </c>
      <c r="C63" s="23" t="s">
        <v>10</v>
      </c>
      <c r="D63" s="118">
        <f>D59*(8/13)*1.57</f>
        <v>0.1086923076923077</v>
      </c>
      <c r="E63" s="133">
        <v>25000</v>
      </c>
      <c r="F63" s="292">
        <f>D63*E63</f>
        <v>2717.3076923076924</v>
      </c>
    </row>
    <row r="64" spans="1:6" ht="18" customHeight="1">
      <c r="A64" s="204"/>
      <c r="B64" s="98" t="s">
        <v>15</v>
      </c>
      <c r="C64" s="23" t="s">
        <v>16</v>
      </c>
      <c r="D64" s="118">
        <f>D68*10</f>
        <v>0.1875</v>
      </c>
      <c r="E64" s="133">
        <v>1587</v>
      </c>
      <c r="F64" s="292">
        <f>D64*E64</f>
        <v>297.5625</v>
      </c>
    </row>
    <row r="65" spans="1:6" ht="18" customHeight="1">
      <c r="A65" s="168"/>
      <c r="B65" s="97" t="s">
        <v>18</v>
      </c>
      <c r="C65" s="28"/>
      <c r="D65" s="121"/>
      <c r="E65" s="135"/>
      <c r="F65" s="293">
        <f>SUM(F61:F64)</f>
        <v>9069.0317307692312</v>
      </c>
    </row>
    <row r="66" spans="1:6" ht="18" customHeight="1">
      <c r="A66" s="204"/>
      <c r="B66" s="98"/>
      <c r="C66" s="23"/>
      <c r="D66" s="118"/>
      <c r="E66" s="133"/>
      <c r="F66" s="292"/>
    </row>
    <row r="67" spans="1:6" ht="18" customHeight="1">
      <c r="A67" s="204"/>
      <c r="B67" s="97" t="s">
        <v>19</v>
      </c>
      <c r="C67" s="23"/>
      <c r="D67" s="118"/>
      <c r="E67" s="133"/>
      <c r="F67" s="292"/>
    </row>
    <row r="68" spans="1:6" ht="18" customHeight="1">
      <c r="A68" s="204"/>
      <c r="B68" s="98" t="s">
        <v>20</v>
      </c>
      <c r="C68" s="23" t="s">
        <v>21</v>
      </c>
      <c r="D68" s="118">
        <f>D59/6</f>
        <v>1.8749999999999999E-2</v>
      </c>
      <c r="E68" s="133">
        <v>50000</v>
      </c>
      <c r="F68" s="292">
        <f>D68*E68</f>
        <v>937.5</v>
      </c>
    </row>
    <row r="69" spans="1:6" ht="18" customHeight="1">
      <c r="A69" s="168"/>
      <c r="B69" s="97" t="s">
        <v>23</v>
      </c>
      <c r="C69" s="28"/>
      <c r="D69" s="121"/>
      <c r="E69" s="135"/>
      <c r="F69" s="293">
        <f>SUM(F68:F68)</f>
        <v>937.5</v>
      </c>
    </row>
    <row r="70" spans="1:6" ht="18" customHeight="1">
      <c r="A70" s="204"/>
      <c r="B70" s="98"/>
      <c r="C70" s="23"/>
      <c r="D70" s="118"/>
      <c r="E70" s="133"/>
      <c r="F70" s="292"/>
    </row>
    <row r="71" spans="1:6" ht="18" customHeight="1">
      <c r="A71" s="204"/>
      <c r="B71" s="97" t="s">
        <v>6</v>
      </c>
      <c r="C71" s="23"/>
      <c r="D71" s="118"/>
      <c r="E71" s="133"/>
      <c r="F71" s="292"/>
    </row>
    <row r="72" spans="1:6" ht="18" customHeight="1">
      <c r="A72" s="204"/>
      <c r="B72" s="98" t="s">
        <v>24</v>
      </c>
      <c r="C72" s="23" t="s">
        <v>21</v>
      </c>
      <c r="D72" s="118">
        <f>(D59/6)*2</f>
        <v>3.7499999999999999E-2</v>
      </c>
      <c r="E72" s="133">
        <v>6088.08</v>
      </c>
      <c r="F72" s="292">
        <f>D72*E72</f>
        <v>228.303</v>
      </c>
    </row>
    <row r="73" spans="1:6" ht="18" customHeight="1">
      <c r="A73" s="204"/>
      <c r="B73" s="98" t="s">
        <v>25</v>
      </c>
      <c r="C73" s="23" t="s">
        <v>21</v>
      </c>
      <c r="D73" s="118">
        <f>(D59/6)*18</f>
        <v>0.33749999999999997</v>
      </c>
      <c r="E73" s="133">
        <v>4000</v>
      </c>
      <c r="F73" s="292">
        <f>D73*E73</f>
        <v>1349.9999999999998</v>
      </c>
    </row>
    <row r="74" spans="1:6" ht="18" customHeight="1">
      <c r="A74" s="204"/>
      <c r="B74" s="98" t="s">
        <v>26</v>
      </c>
      <c r="C74" s="23" t="s">
        <v>21</v>
      </c>
      <c r="D74" s="118">
        <f>D68</f>
        <v>1.8749999999999999E-2</v>
      </c>
      <c r="E74" s="133">
        <v>6088.08</v>
      </c>
      <c r="F74" s="292">
        <f>D74*E74</f>
        <v>114.1515</v>
      </c>
    </row>
    <row r="75" spans="1:6" ht="18" customHeight="1">
      <c r="A75" s="168"/>
      <c r="B75" s="97" t="s">
        <v>27</v>
      </c>
      <c r="C75" s="28"/>
      <c r="D75" s="121"/>
      <c r="E75" s="135"/>
      <c r="F75" s="293">
        <f>SUM(F72:F74)</f>
        <v>1692.4544999999998</v>
      </c>
    </row>
    <row r="76" spans="1:6" ht="18" customHeight="1">
      <c r="A76" s="168"/>
      <c r="B76" s="97"/>
      <c r="C76" s="28"/>
      <c r="D76" s="121"/>
      <c r="E76" s="135"/>
      <c r="F76" s="293"/>
    </row>
    <row r="77" spans="1:6" ht="18" customHeight="1">
      <c r="A77" s="168">
        <v>4</v>
      </c>
      <c r="B77" s="484" t="s">
        <v>82</v>
      </c>
      <c r="C77" s="484"/>
      <c r="D77" s="484"/>
      <c r="E77" s="484"/>
      <c r="F77" s="485"/>
    </row>
    <row r="78" spans="1:6" ht="18" customHeight="1">
      <c r="A78" s="199">
        <v>4.01</v>
      </c>
      <c r="B78" s="99" t="s">
        <v>83</v>
      </c>
      <c r="C78" s="69" t="s">
        <v>50</v>
      </c>
      <c r="D78" s="125">
        <f>((0.75*0.2)*4)*4</f>
        <v>2.4000000000000004</v>
      </c>
      <c r="E78" s="138">
        <f>F78/D78</f>
        <v>12874.418832391713</v>
      </c>
      <c r="F78" s="294">
        <f>F83+F88</f>
        <v>30898.605197740118</v>
      </c>
    </row>
    <row r="79" spans="1:6" ht="18" customHeight="1">
      <c r="A79" s="204"/>
      <c r="B79" s="97" t="s">
        <v>2</v>
      </c>
      <c r="C79" s="23"/>
      <c r="D79" s="114"/>
      <c r="E79" s="133"/>
      <c r="F79" s="292"/>
    </row>
    <row r="80" spans="1:6" ht="18" customHeight="1">
      <c r="A80" s="204"/>
      <c r="B80" s="98" t="s">
        <v>84</v>
      </c>
      <c r="C80" s="23" t="s">
        <v>85</v>
      </c>
      <c r="D80" s="118">
        <f>D78/(2.4*1.2)/2</f>
        <v>0.41666666666666674</v>
      </c>
      <c r="E80" s="133">
        <v>32000</v>
      </c>
      <c r="F80" s="292">
        <f>D80*E80</f>
        <v>13333.333333333336</v>
      </c>
    </row>
    <row r="81" spans="1:6" ht="18" customHeight="1">
      <c r="A81" s="204"/>
      <c r="B81" s="98" t="s">
        <v>86</v>
      </c>
      <c r="C81" s="23" t="s">
        <v>44</v>
      </c>
      <c r="D81" s="118">
        <f>D78*1.5</f>
        <v>3.6000000000000005</v>
      </c>
      <c r="E81" s="133">
        <v>4000</v>
      </c>
      <c r="F81" s="292">
        <f>D81*E81</f>
        <v>14400.000000000002</v>
      </c>
    </row>
    <row r="82" spans="1:6" ht="18" customHeight="1">
      <c r="A82" s="200"/>
      <c r="B82" s="98" t="s">
        <v>87</v>
      </c>
      <c r="C82" s="23" t="s">
        <v>88</v>
      </c>
      <c r="D82" s="118">
        <f>D78*0.25</f>
        <v>0.60000000000000009</v>
      </c>
      <c r="E82" s="133">
        <f>1500/1.18</f>
        <v>1271.1864406779662</v>
      </c>
      <c r="F82" s="292">
        <f>D82*E82</f>
        <v>762.7118644067798</v>
      </c>
    </row>
    <row r="83" spans="1:6" ht="18" customHeight="1">
      <c r="A83" s="200"/>
      <c r="B83" s="97" t="s">
        <v>89</v>
      </c>
      <c r="C83" s="28"/>
      <c r="D83" s="121"/>
      <c r="E83" s="135"/>
      <c r="F83" s="293">
        <f>SUM(F80:F82)</f>
        <v>28496.045197740117</v>
      </c>
    </row>
    <row r="84" spans="1:6" ht="18" customHeight="1">
      <c r="A84" s="200"/>
      <c r="B84" s="98"/>
      <c r="C84" s="23"/>
      <c r="D84" s="118"/>
      <c r="E84" s="133"/>
      <c r="F84" s="292"/>
    </row>
    <row r="85" spans="1:6" ht="18" customHeight="1">
      <c r="A85" s="201"/>
      <c r="B85" s="97" t="s">
        <v>6</v>
      </c>
      <c r="C85" s="23"/>
      <c r="D85" s="118"/>
      <c r="E85" s="133"/>
      <c r="F85" s="292"/>
    </row>
    <row r="86" spans="1:6" ht="18" customHeight="1">
      <c r="A86" s="201"/>
      <c r="B86" s="98" t="s">
        <v>90</v>
      </c>
      <c r="C86" s="23" t="s">
        <v>21</v>
      </c>
      <c r="D86" s="118">
        <f>D78/15</f>
        <v>0.16000000000000003</v>
      </c>
      <c r="E86" s="133">
        <v>7016</v>
      </c>
      <c r="F86" s="292">
        <f>D86*E86</f>
        <v>1122.5600000000002</v>
      </c>
    </row>
    <row r="87" spans="1:6" ht="18" customHeight="1">
      <c r="A87" s="201"/>
      <c r="B87" s="98" t="s">
        <v>25</v>
      </c>
      <c r="C87" s="23" t="s">
        <v>21</v>
      </c>
      <c r="D87" s="118">
        <f>D86*2</f>
        <v>0.32000000000000006</v>
      </c>
      <c r="E87" s="133">
        <v>4000</v>
      </c>
      <c r="F87" s="292">
        <f>D87*E87</f>
        <v>1280.0000000000002</v>
      </c>
    </row>
    <row r="88" spans="1:6" ht="18" customHeight="1">
      <c r="A88" s="204"/>
      <c r="B88" s="97" t="s">
        <v>91</v>
      </c>
      <c r="C88" s="28"/>
      <c r="D88" s="122"/>
      <c r="E88" s="135"/>
      <c r="F88" s="293">
        <f>SUM(F86:F87)</f>
        <v>2402.5600000000004</v>
      </c>
    </row>
    <row r="89" spans="1:6" ht="18" customHeight="1">
      <c r="A89" s="199">
        <v>4.0199999999999996</v>
      </c>
      <c r="B89" s="99" t="s">
        <v>118</v>
      </c>
      <c r="C89" s="69" t="s">
        <v>50</v>
      </c>
      <c r="D89" s="125">
        <f>((1.05*0.3)*4)*4</f>
        <v>5.04</v>
      </c>
      <c r="E89" s="138">
        <f>F89/D89</f>
        <v>12874.418832391715</v>
      </c>
      <c r="F89" s="294">
        <f>F94+F99</f>
        <v>64887.07091525424</v>
      </c>
    </row>
    <row r="90" spans="1:6" ht="18" customHeight="1">
      <c r="A90" s="204"/>
      <c r="B90" s="97" t="s">
        <v>2</v>
      </c>
      <c r="C90" s="23"/>
      <c r="D90" s="114"/>
      <c r="E90" s="133"/>
      <c r="F90" s="292"/>
    </row>
    <row r="91" spans="1:6" ht="18" customHeight="1">
      <c r="A91" s="204"/>
      <c r="B91" s="98" t="s">
        <v>84</v>
      </c>
      <c r="C91" s="23" t="s">
        <v>85</v>
      </c>
      <c r="D91" s="118">
        <f>D89/(2.4*1.2)/2</f>
        <v>0.875</v>
      </c>
      <c r="E91" s="133">
        <v>32000</v>
      </c>
      <c r="F91" s="292">
        <f>D91*E91</f>
        <v>28000</v>
      </c>
    </row>
    <row r="92" spans="1:6" ht="18" customHeight="1">
      <c r="A92" s="204"/>
      <c r="B92" s="98" t="s">
        <v>86</v>
      </c>
      <c r="C92" s="23" t="s">
        <v>44</v>
      </c>
      <c r="D92" s="118">
        <f>D89*1.5</f>
        <v>7.5600000000000005</v>
      </c>
      <c r="E92" s="133">
        <v>4000</v>
      </c>
      <c r="F92" s="292">
        <f>D92*E92</f>
        <v>30240.000000000004</v>
      </c>
    </row>
    <row r="93" spans="1:6" ht="18" customHeight="1">
      <c r="A93" s="200"/>
      <c r="B93" s="98" t="s">
        <v>87</v>
      </c>
      <c r="C93" s="23" t="s">
        <v>88</v>
      </c>
      <c r="D93" s="118">
        <f>D89*0.25</f>
        <v>1.26</v>
      </c>
      <c r="E93" s="133">
        <f>1500/1.18</f>
        <v>1271.1864406779662</v>
      </c>
      <c r="F93" s="292">
        <f>D93*E93</f>
        <v>1601.6949152542375</v>
      </c>
    </row>
    <row r="94" spans="1:6" ht="18" customHeight="1">
      <c r="A94" s="200"/>
      <c r="B94" s="97" t="s">
        <v>89</v>
      </c>
      <c r="C94" s="28"/>
      <c r="D94" s="121"/>
      <c r="E94" s="135"/>
      <c r="F94" s="293">
        <f>SUM(F91:F93)</f>
        <v>59841.694915254237</v>
      </c>
    </row>
    <row r="95" spans="1:6" ht="18" customHeight="1">
      <c r="A95" s="200"/>
      <c r="B95" s="98"/>
      <c r="C95" s="23"/>
      <c r="D95" s="118"/>
      <c r="E95" s="133"/>
      <c r="F95" s="292"/>
    </row>
    <row r="96" spans="1:6" ht="18" customHeight="1">
      <c r="A96" s="201"/>
      <c r="B96" s="97" t="s">
        <v>6</v>
      </c>
      <c r="C96" s="23"/>
      <c r="D96" s="118"/>
      <c r="E96" s="133"/>
      <c r="F96" s="292"/>
    </row>
    <row r="97" spans="1:6" ht="18" customHeight="1">
      <c r="A97" s="201"/>
      <c r="B97" s="98" t="s">
        <v>90</v>
      </c>
      <c r="C97" s="23" t="s">
        <v>21</v>
      </c>
      <c r="D97" s="118">
        <f>D89/15</f>
        <v>0.33600000000000002</v>
      </c>
      <c r="E97" s="133">
        <v>7016</v>
      </c>
      <c r="F97" s="292">
        <f>D97*E97</f>
        <v>2357.3760000000002</v>
      </c>
    </row>
    <row r="98" spans="1:6" ht="18" customHeight="1">
      <c r="A98" s="201"/>
      <c r="B98" s="98" t="s">
        <v>25</v>
      </c>
      <c r="C98" s="23" t="s">
        <v>21</v>
      </c>
      <c r="D98" s="118">
        <f>D97*2</f>
        <v>0.67200000000000004</v>
      </c>
      <c r="E98" s="133">
        <v>4000</v>
      </c>
      <c r="F98" s="292">
        <f>D98*E98</f>
        <v>2688</v>
      </c>
    </row>
    <row r="99" spans="1:6" ht="18" customHeight="1">
      <c r="A99" s="204"/>
      <c r="B99" s="97" t="s">
        <v>91</v>
      </c>
      <c r="C99" s="28"/>
      <c r="D99" s="122"/>
      <c r="E99" s="135"/>
      <c r="F99" s="293">
        <f>SUM(F97:F98)</f>
        <v>5045.3760000000002</v>
      </c>
    </row>
    <row r="100" spans="1:6" ht="18" customHeight="1">
      <c r="A100" s="199">
        <v>4.03</v>
      </c>
      <c r="B100" s="99" t="s">
        <v>95</v>
      </c>
      <c r="C100" s="69" t="s">
        <v>36</v>
      </c>
      <c r="D100" s="125">
        <f>((3.1*0.3)*4)*4</f>
        <v>14.879999999999999</v>
      </c>
      <c r="E100" s="138">
        <f>F100/D100</f>
        <v>12874.418832391715</v>
      </c>
      <c r="F100" s="294">
        <f>F105+F110</f>
        <v>191571.3522259887</v>
      </c>
    </row>
    <row r="101" spans="1:6" ht="18" customHeight="1">
      <c r="A101" s="204"/>
      <c r="B101" s="97" t="s">
        <v>2</v>
      </c>
      <c r="C101" s="23"/>
      <c r="D101" s="114"/>
      <c r="E101" s="133"/>
      <c r="F101" s="292"/>
    </row>
    <row r="102" spans="1:6" ht="18" customHeight="1">
      <c r="A102" s="204"/>
      <c r="B102" s="98" t="s">
        <v>84</v>
      </c>
      <c r="C102" s="23" t="s">
        <v>85</v>
      </c>
      <c r="D102" s="118">
        <f>D100/(2.4*1.2)/2</f>
        <v>2.583333333333333</v>
      </c>
      <c r="E102" s="133">
        <v>32000</v>
      </c>
      <c r="F102" s="292">
        <f>D102*E102</f>
        <v>82666.666666666657</v>
      </c>
    </row>
    <row r="103" spans="1:6" s="64" customFormat="1" ht="18" customHeight="1">
      <c r="A103" s="204"/>
      <c r="B103" s="98" t="s">
        <v>86</v>
      </c>
      <c r="C103" s="23" t="s">
        <v>44</v>
      </c>
      <c r="D103" s="118">
        <f>D100*1.5</f>
        <v>22.32</v>
      </c>
      <c r="E103" s="133">
        <v>4000</v>
      </c>
      <c r="F103" s="292">
        <f>D103*E103</f>
        <v>89280</v>
      </c>
    </row>
    <row r="104" spans="1:6" ht="18" customHeight="1">
      <c r="A104" s="200"/>
      <c r="B104" s="98" t="s">
        <v>87</v>
      </c>
      <c r="C104" s="23" t="s">
        <v>88</v>
      </c>
      <c r="D104" s="118">
        <f>D100*0.25</f>
        <v>3.7199999999999998</v>
      </c>
      <c r="E104" s="133">
        <f>1500/1.18</f>
        <v>1271.1864406779662</v>
      </c>
      <c r="F104" s="292">
        <f>D104*E104</f>
        <v>4728.8135593220341</v>
      </c>
    </row>
    <row r="105" spans="1:6" ht="18" customHeight="1">
      <c r="A105" s="200"/>
      <c r="B105" s="97" t="s">
        <v>89</v>
      </c>
      <c r="C105" s="28"/>
      <c r="D105" s="121"/>
      <c r="E105" s="135"/>
      <c r="F105" s="293">
        <f>SUM(F102:F104)</f>
        <v>176675.48022598869</v>
      </c>
    </row>
    <row r="106" spans="1:6" ht="18" customHeight="1">
      <c r="A106" s="200"/>
      <c r="B106" s="98"/>
      <c r="C106" s="23"/>
      <c r="D106" s="118"/>
      <c r="E106" s="133"/>
      <c r="F106" s="292"/>
    </row>
    <row r="107" spans="1:6" s="59" customFormat="1" ht="18" customHeight="1">
      <c r="A107" s="201"/>
      <c r="B107" s="97" t="s">
        <v>6</v>
      </c>
      <c r="C107" s="23"/>
      <c r="D107" s="118"/>
      <c r="E107" s="133"/>
      <c r="F107" s="292"/>
    </row>
    <row r="108" spans="1:6" ht="18" customHeight="1">
      <c r="A108" s="201"/>
      <c r="B108" s="98" t="s">
        <v>90</v>
      </c>
      <c r="C108" s="23" t="s">
        <v>21</v>
      </c>
      <c r="D108" s="118">
        <f>D100/15</f>
        <v>0.99199999999999988</v>
      </c>
      <c r="E108" s="133">
        <v>7016</v>
      </c>
      <c r="F108" s="292">
        <f>D108*E108</f>
        <v>6959.8719999999994</v>
      </c>
    </row>
    <row r="109" spans="1:6" ht="18" customHeight="1">
      <c r="A109" s="201"/>
      <c r="B109" s="98" t="s">
        <v>25</v>
      </c>
      <c r="C109" s="23" t="s">
        <v>21</v>
      </c>
      <c r="D109" s="118">
        <f>D108*2</f>
        <v>1.9839999999999998</v>
      </c>
      <c r="E109" s="133">
        <v>4000</v>
      </c>
      <c r="F109" s="292">
        <f>D109*E109</f>
        <v>7935.9999999999991</v>
      </c>
    </row>
    <row r="110" spans="1:6" ht="18" customHeight="1">
      <c r="A110" s="204"/>
      <c r="B110" s="11" t="s">
        <v>9</v>
      </c>
      <c r="C110" s="28"/>
      <c r="D110" s="122"/>
      <c r="E110" s="135"/>
      <c r="F110" s="293">
        <f>SUM(F108:F109)</f>
        <v>14895.871999999999</v>
      </c>
    </row>
    <row r="111" spans="1:6" ht="18" customHeight="1">
      <c r="A111" s="204"/>
      <c r="B111" s="11"/>
      <c r="C111" s="28"/>
      <c r="D111" s="122"/>
      <c r="E111" s="135"/>
      <c r="F111" s="293"/>
    </row>
    <row r="112" spans="1:6" s="59" customFormat="1" ht="18" customHeight="1">
      <c r="A112" s="205">
        <v>5</v>
      </c>
      <c r="B112" s="100" t="s">
        <v>105</v>
      </c>
      <c r="C112" s="69" t="s">
        <v>88</v>
      </c>
      <c r="D112" s="125">
        <v>94.819000000000003</v>
      </c>
      <c r="E112" s="138">
        <f>F112/D112</f>
        <v>1573.0956685499061</v>
      </c>
      <c r="F112" s="294">
        <f>F117+F122</f>
        <v>149159.35819623354</v>
      </c>
    </row>
    <row r="113" spans="1:6" ht="18" customHeight="1">
      <c r="A113" s="204"/>
      <c r="B113" s="97" t="s">
        <v>2</v>
      </c>
      <c r="C113" s="23"/>
      <c r="D113" s="114"/>
      <c r="E113" s="133"/>
      <c r="F113" s="292"/>
    </row>
    <row r="114" spans="1:6" s="64" customFormat="1" ht="18" customHeight="1">
      <c r="A114" s="204"/>
      <c r="B114" s="98" t="s">
        <v>106</v>
      </c>
      <c r="C114" s="23" t="s">
        <v>88</v>
      </c>
      <c r="D114" s="118">
        <f>D112*1.1</f>
        <v>104.30090000000001</v>
      </c>
      <c r="E114" s="133">
        <f>1300/1.18</f>
        <v>1101.6949152542375</v>
      </c>
      <c r="F114" s="292">
        <f>D114*E114</f>
        <v>114907.7711864407</v>
      </c>
    </row>
    <row r="115" spans="1:6" ht="18" customHeight="1">
      <c r="A115" s="204"/>
      <c r="B115" s="98" t="s">
        <v>107</v>
      </c>
      <c r="C115" s="23" t="s">
        <v>88</v>
      </c>
      <c r="D115" s="118">
        <f>D112*2.5%</f>
        <v>2.3704750000000003</v>
      </c>
      <c r="E115" s="133">
        <f>1300/1.18</f>
        <v>1101.6949152542375</v>
      </c>
      <c r="F115" s="292">
        <f>D115*E115</f>
        <v>2611.540254237289</v>
      </c>
    </row>
    <row r="116" spans="1:6" ht="18" customHeight="1">
      <c r="A116" s="204"/>
      <c r="B116" s="98"/>
      <c r="C116" s="23"/>
      <c r="D116" s="118"/>
      <c r="E116" s="133"/>
      <c r="F116" s="292"/>
    </row>
    <row r="117" spans="1:6" ht="18" customHeight="1">
      <c r="A117" s="168"/>
      <c r="B117" s="97" t="s">
        <v>108</v>
      </c>
      <c r="C117" s="28"/>
      <c r="D117" s="121"/>
      <c r="E117" s="135"/>
      <c r="F117" s="293">
        <f>SUM(F114:F116)</f>
        <v>117519.31144067799</v>
      </c>
    </row>
    <row r="118" spans="1:6" ht="18" customHeight="1">
      <c r="A118" s="204"/>
      <c r="B118" s="98"/>
      <c r="C118" s="23"/>
      <c r="D118" s="118"/>
      <c r="E118" s="133"/>
      <c r="F118" s="292"/>
    </row>
    <row r="119" spans="1:6" s="59" customFormat="1" ht="18" customHeight="1">
      <c r="A119" s="204"/>
      <c r="B119" s="97" t="s">
        <v>6</v>
      </c>
      <c r="C119" s="23"/>
      <c r="D119" s="118"/>
      <c r="E119" s="133"/>
      <c r="F119" s="292"/>
    </row>
    <row r="120" spans="1:6" ht="18" customHeight="1">
      <c r="A120" s="204"/>
      <c r="B120" s="98" t="s">
        <v>109</v>
      </c>
      <c r="C120" s="23" t="s">
        <v>8</v>
      </c>
      <c r="D120" s="118">
        <f>D112/45</f>
        <v>2.1070888888888888</v>
      </c>
      <c r="E120" s="133">
        <v>7016</v>
      </c>
      <c r="F120" s="292">
        <f>D120*E120</f>
        <v>14783.335644444443</v>
      </c>
    </row>
    <row r="121" spans="1:6" ht="18" customHeight="1">
      <c r="A121" s="204"/>
      <c r="B121" s="98" t="s">
        <v>110</v>
      </c>
      <c r="C121" s="23" t="s">
        <v>8</v>
      </c>
      <c r="D121" s="118">
        <f>D120*2</f>
        <v>4.2141777777777776</v>
      </c>
      <c r="E121" s="133">
        <v>4000</v>
      </c>
      <c r="F121" s="292">
        <f>D121*E121</f>
        <v>16856.711111111112</v>
      </c>
    </row>
    <row r="122" spans="1:6" ht="18" customHeight="1">
      <c r="A122" s="168"/>
      <c r="B122" s="97" t="s">
        <v>111</v>
      </c>
      <c r="C122" s="28"/>
      <c r="D122" s="122"/>
      <c r="E122" s="135"/>
      <c r="F122" s="293">
        <f>F120+F121</f>
        <v>31640.046755555555</v>
      </c>
    </row>
    <row r="123" spans="1:6" ht="18" customHeight="1">
      <c r="A123" s="168"/>
      <c r="B123" s="97"/>
      <c r="C123" s="28"/>
      <c r="D123" s="122"/>
      <c r="E123" s="135"/>
      <c r="F123" s="293"/>
    </row>
    <row r="124" spans="1:6" s="59" customFormat="1" ht="18" customHeight="1">
      <c r="A124" s="170">
        <v>6</v>
      </c>
      <c r="B124" s="486" t="s">
        <v>101</v>
      </c>
      <c r="C124" s="486"/>
      <c r="D124" s="486"/>
      <c r="E124" s="486"/>
      <c r="F124" s="487"/>
    </row>
    <row r="125" spans="1:6" ht="18" customHeight="1">
      <c r="A125" s="199">
        <v>6.01</v>
      </c>
      <c r="B125" s="99" t="s">
        <v>102</v>
      </c>
      <c r="C125" s="69" t="s">
        <v>10</v>
      </c>
      <c r="D125" s="125">
        <f>(0.7*0.7*0.15)*4</f>
        <v>0.29399999999999993</v>
      </c>
      <c r="E125" s="138">
        <f>F125/D125</f>
        <v>118514.68000000001</v>
      </c>
      <c r="F125" s="294">
        <f>F128+F135+F132</f>
        <v>34843.315919999994</v>
      </c>
    </row>
    <row r="126" spans="1:6" ht="18" customHeight="1">
      <c r="A126" s="206"/>
      <c r="B126" s="101" t="s">
        <v>2</v>
      </c>
      <c r="C126" s="56"/>
      <c r="D126" s="123"/>
      <c r="E126" s="136"/>
      <c r="F126" s="295"/>
    </row>
    <row r="127" spans="1:6" ht="18" customHeight="1">
      <c r="A127" s="206"/>
      <c r="B127" s="102" t="s">
        <v>99</v>
      </c>
      <c r="C127" s="56" t="s">
        <v>28</v>
      </c>
      <c r="D127" s="137">
        <f>D125*1.1</f>
        <v>0.32339999999999997</v>
      </c>
      <c r="E127" s="136">
        <v>100000</v>
      </c>
      <c r="F127" s="295">
        <f>D127*E127</f>
        <v>32339.999999999996</v>
      </c>
    </row>
    <row r="128" spans="1:6" s="64" customFormat="1" ht="18" customHeight="1">
      <c r="A128" s="207"/>
      <c r="B128" s="101" t="s">
        <v>100</v>
      </c>
      <c r="C128" s="57"/>
      <c r="D128" s="124"/>
      <c r="E128" s="262"/>
      <c r="F128" s="296">
        <f>F127</f>
        <v>32339.999999999996</v>
      </c>
    </row>
    <row r="129" spans="1:6" ht="18" customHeight="1">
      <c r="A129" s="207"/>
      <c r="B129" s="101"/>
      <c r="C129" s="57"/>
      <c r="D129" s="124"/>
      <c r="E129" s="262"/>
      <c r="F129" s="296"/>
    </row>
    <row r="130" spans="1:6" ht="18" customHeight="1">
      <c r="A130" s="204"/>
      <c r="B130" s="97" t="s">
        <v>19</v>
      </c>
      <c r="C130" s="23"/>
      <c r="D130" s="118"/>
      <c r="E130" s="133"/>
      <c r="F130" s="292"/>
    </row>
    <row r="131" spans="1:6" ht="18" customHeight="1">
      <c r="A131" s="204"/>
      <c r="B131" s="98" t="s">
        <v>22</v>
      </c>
      <c r="C131" s="23" t="s">
        <v>21</v>
      </c>
      <c r="D131" s="118">
        <f>D125/6</f>
        <v>4.8999999999999988E-2</v>
      </c>
      <c r="E131" s="133">
        <v>15000</v>
      </c>
      <c r="F131" s="292">
        <f>D131*E131</f>
        <v>734.99999999999977</v>
      </c>
    </row>
    <row r="132" spans="1:6" ht="18" customHeight="1">
      <c r="A132" s="168"/>
      <c r="B132" s="97" t="s">
        <v>112</v>
      </c>
      <c r="C132" s="28"/>
      <c r="D132" s="121"/>
      <c r="E132" s="135"/>
      <c r="F132" s="293">
        <f>SUM(F131:F131)</f>
        <v>734.99999999999977</v>
      </c>
    </row>
    <row r="133" spans="1:6" ht="18" customHeight="1">
      <c r="A133" s="168"/>
      <c r="B133" s="97"/>
      <c r="C133" s="28"/>
      <c r="D133" s="121"/>
      <c r="E133" s="135"/>
      <c r="F133" s="293"/>
    </row>
    <row r="134" spans="1:6" ht="18" customHeight="1">
      <c r="A134" s="206"/>
      <c r="B134" s="102" t="s">
        <v>26</v>
      </c>
      <c r="C134" s="56" t="s">
        <v>21</v>
      </c>
      <c r="D134" s="137">
        <f>D131</f>
        <v>4.8999999999999988E-2</v>
      </c>
      <c r="E134" s="136">
        <v>6088.08</v>
      </c>
      <c r="F134" s="295">
        <f>D134*E134</f>
        <v>298.31591999999995</v>
      </c>
    </row>
    <row r="135" spans="1:6" ht="18" customHeight="1">
      <c r="A135" s="207"/>
      <c r="B135" s="101" t="s">
        <v>113</v>
      </c>
      <c r="C135" s="57"/>
      <c r="D135" s="124"/>
      <c r="E135" s="262"/>
      <c r="F135" s="296">
        <f>SUM(F131:F134)</f>
        <v>1768.3159199999996</v>
      </c>
    </row>
    <row r="136" spans="1:6" ht="18" customHeight="1">
      <c r="A136" s="199">
        <v>6.02</v>
      </c>
      <c r="B136" s="99" t="s">
        <v>103</v>
      </c>
      <c r="C136" s="69" t="s">
        <v>10</v>
      </c>
      <c r="D136" s="125">
        <f>(1*0.25*0.25)*4</f>
        <v>0.25</v>
      </c>
      <c r="E136" s="138">
        <f>F136/D136</f>
        <v>111668.87728000002</v>
      </c>
      <c r="F136" s="294">
        <f>F139+F146+F143</f>
        <v>27917.219320000004</v>
      </c>
    </row>
    <row r="137" spans="1:6" s="59" customFormat="1" ht="18" customHeight="1">
      <c r="A137" s="206"/>
      <c r="B137" s="101" t="s">
        <v>2</v>
      </c>
      <c r="C137" s="56"/>
      <c r="D137" s="123"/>
      <c r="E137" s="136"/>
      <c r="F137" s="295"/>
    </row>
    <row r="138" spans="1:6" ht="18" customHeight="1">
      <c r="A138" s="206"/>
      <c r="B138" s="102" t="s">
        <v>99</v>
      </c>
      <c r="C138" s="56" t="s">
        <v>28</v>
      </c>
      <c r="D138" s="137">
        <f>D136*1.1</f>
        <v>0.27500000000000002</v>
      </c>
      <c r="E138" s="136">
        <v>100000</v>
      </c>
      <c r="F138" s="295">
        <f>D138*E138</f>
        <v>27500.000000000004</v>
      </c>
    </row>
    <row r="139" spans="1:6" ht="18" customHeight="1">
      <c r="A139" s="207"/>
      <c r="B139" s="101" t="s">
        <v>100</v>
      </c>
      <c r="C139" s="57"/>
      <c r="D139" s="124"/>
      <c r="E139" s="262"/>
      <c r="F139" s="296">
        <f>F138</f>
        <v>27500.000000000004</v>
      </c>
    </row>
    <row r="140" spans="1:6" ht="18" customHeight="1">
      <c r="A140" s="207"/>
      <c r="B140" s="101"/>
      <c r="C140" s="57"/>
      <c r="D140" s="124"/>
      <c r="E140" s="262"/>
      <c r="F140" s="296"/>
    </row>
    <row r="141" spans="1:6" ht="18" customHeight="1">
      <c r="A141" s="204"/>
      <c r="B141" s="97" t="s">
        <v>19</v>
      </c>
      <c r="C141" s="23"/>
      <c r="D141" s="118"/>
      <c r="E141" s="133"/>
      <c r="F141" s="292"/>
    </row>
    <row r="142" spans="1:6" s="59" customFormat="1" ht="18" customHeight="1">
      <c r="A142" s="204"/>
      <c r="B142" s="98" t="s">
        <v>22</v>
      </c>
      <c r="C142" s="23" t="s">
        <v>21</v>
      </c>
      <c r="D142" s="251">
        <f>D134/6</f>
        <v>8.1666666666666641E-3</v>
      </c>
      <c r="E142" s="133">
        <v>15000</v>
      </c>
      <c r="F142" s="292">
        <f>D142*E142</f>
        <v>122.49999999999996</v>
      </c>
    </row>
    <row r="143" spans="1:6" ht="18" customHeight="1">
      <c r="A143" s="168"/>
      <c r="B143" s="97" t="s">
        <v>112</v>
      </c>
      <c r="C143" s="28"/>
      <c r="D143" s="121"/>
      <c r="E143" s="135"/>
      <c r="F143" s="293">
        <f>SUM(F142:F142)</f>
        <v>122.49999999999996</v>
      </c>
    </row>
    <row r="144" spans="1:6" ht="18" customHeight="1">
      <c r="A144" s="168"/>
      <c r="B144" s="97"/>
      <c r="C144" s="28"/>
      <c r="D144" s="121"/>
      <c r="E144" s="135"/>
      <c r="F144" s="293"/>
    </row>
    <row r="145" spans="1:6" ht="18" customHeight="1">
      <c r="A145" s="206"/>
      <c r="B145" s="102" t="s">
        <v>26</v>
      </c>
      <c r="C145" s="56" t="s">
        <v>21</v>
      </c>
      <c r="D145" s="252">
        <f>D142</f>
        <v>8.1666666666666641E-3</v>
      </c>
      <c r="E145" s="136">
        <v>6088.08</v>
      </c>
      <c r="F145" s="295">
        <f>D145*E145</f>
        <v>49.719319999999982</v>
      </c>
    </row>
    <row r="146" spans="1:6" ht="18" customHeight="1">
      <c r="A146" s="207"/>
      <c r="B146" s="101" t="s">
        <v>113</v>
      </c>
      <c r="C146" s="57"/>
      <c r="D146" s="124"/>
      <c r="E146" s="262"/>
      <c r="F146" s="296">
        <f>SUM(F142:F145)</f>
        <v>294.71931999999993</v>
      </c>
    </row>
    <row r="147" spans="1:6" s="64" customFormat="1" ht="18" customHeight="1">
      <c r="A147" s="199">
        <v>6.03</v>
      </c>
      <c r="B147" s="99" t="s">
        <v>104</v>
      </c>
      <c r="C147" s="69" t="s">
        <v>10</v>
      </c>
      <c r="D147" s="125">
        <f>(3*0.25*0.25)*4</f>
        <v>0.75</v>
      </c>
      <c r="E147" s="138">
        <f>F147/D147</f>
        <v>118514.68</v>
      </c>
      <c r="F147" s="294">
        <f>F150+F157+F154</f>
        <v>88886.01</v>
      </c>
    </row>
    <row r="148" spans="1:6" ht="18" customHeight="1">
      <c r="A148" s="206"/>
      <c r="B148" s="101" t="s">
        <v>2</v>
      </c>
      <c r="C148" s="56"/>
      <c r="D148" s="123"/>
      <c r="E148" s="136"/>
      <c r="F148" s="295"/>
    </row>
    <row r="149" spans="1:6" ht="18" customHeight="1">
      <c r="A149" s="206"/>
      <c r="B149" s="102" t="s">
        <v>99</v>
      </c>
      <c r="C149" s="56" t="s">
        <v>28</v>
      </c>
      <c r="D149" s="137">
        <f>D147*1.1</f>
        <v>0.82500000000000007</v>
      </c>
      <c r="E149" s="136">
        <v>100000</v>
      </c>
      <c r="F149" s="295">
        <f>D149*E149</f>
        <v>82500</v>
      </c>
    </row>
    <row r="150" spans="1:6" ht="18" customHeight="1">
      <c r="A150" s="207"/>
      <c r="B150" s="101" t="s">
        <v>100</v>
      </c>
      <c r="C150" s="57"/>
      <c r="D150" s="124"/>
      <c r="E150" s="262"/>
      <c r="F150" s="296">
        <f>F149</f>
        <v>82500</v>
      </c>
    </row>
    <row r="151" spans="1:6" ht="18" customHeight="1">
      <c r="A151" s="207"/>
      <c r="B151" s="101"/>
      <c r="C151" s="57"/>
      <c r="D151" s="124"/>
      <c r="E151" s="262"/>
      <c r="F151" s="296"/>
    </row>
    <row r="152" spans="1:6" s="55" customFormat="1" ht="18" customHeight="1">
      <c r="A152" s="204"/>
      <c r="B152" s="97" t="s">
        <v>19</v>
      </c>
      <c r="C152" s="23"/>
      <c r="D152" s="118"/>
      <c r="E152" s="133"/>
      <c r="F152" s="292"/>
    </row>
    <row r="153" spans="1:6" ht="18" customHeight="1">
      <c r="A153" s="204"/>
      <c r="B153" s="98" t="s">
        <v>22</v>
      </c>
      <c r="C153" s="23" t="s">
        <v>21</v>
      </c>
      <c r="D153" s="118">
        <f>D147/6</f>
        <v>0.125</v>
      </c>
      <c r="E153" s="133">
        <v>15000</v>
      </c>
      <c r="F153" s="292">
        <f>D153*E153</f>
        <v>1875</v>
      </c>
    </row>
    <row r="154" spans="1:6" ht="18" customHeight="1">
      <c r="A154" s="168"/>
      <c r="B154" s="97" t="s">
        <v>112</v>
      </c>
      <c r="C154" s="28"/>
      <c r="D154" s="121"/>
      <c r="E154" s="135"/>
      <c r="F154" s="293">
        <f>SUM(F153:F153)</f>
        <v>1875</v>
      </c>
    </row>
    <row r="155" spans="1:6" ht="18" customHeight="1">
      <c r="A155" s="168"/>
      <c r="B155" s="97"/>
      <c r="C155" s="28"/>
      <c r="D155" s="121"/>
      <c r="E155" s="135"/>
      <c r="F155" s="293"/>
    </row>
    <row r="156" spans="1:6" ht="18" customHeight="1">
      <c r="A156" s="206"/>
      <c r="B156" s="102" t="s">
        <v>26</v>
      </c>
      <c r="C156" s="56" t="s">
        <v>21</v>
      </c>
      <c r="D156" s="137">
        <f>D153</f>
        <v>0.125</v>
      </c>
      <c r="E156" s="136">
        <v>6088.08</v>
      </c>
      <c r="F156" s="295">
        <f>D156*E156</f>
        <v>761.01</v>
      </c>
    </row>
    <row r="157" spans="1:6" s="59" customFormat="1" ht="18" customHeight="1">
      <c r="A157" s="207"/>
      <c r="B157" s="101" t="s">
        <v>113</v>
      </c>
      <c r="C157" s="57"/>
      <c r="D157" s="124"/>
      <c r="E157" s="262"/>
      <c r="F157" s="296">
        <f>SUM(F153:F156)</f>
        <v>4511.01</v>
      </c>
    </row>
    <row r="158" spans="1:6" s="59" customFormat="1" ht="18" customHeight="1">
      <c r="A158" s="207"/>
      <c r="B158" s="101"/>
      <c r="C158" s="57"/>
      <c r="D158" s="124"/>
      <c r="E158" s="262"/>
      <c r="F158" s="296"/>
    </row>
    <row r="159" spans="1:6" s="90" customFormat="1" ht="18" customHeight="1">
      <c r="A159" s="170">
        <v>7</v>
      </c>
      <c r="B159" s="482" t="s">
        <v>73</v>
      </c>
      <c r="C159" s="482"/>
      <c r="D159" s="482"/>
      <c r="E159" s="482"/>
      <c r="F159" s="483"/>
    </row>
    <row r="160" spans="1:6" ht="18" customHeight="1">
      <c r="A160" s="202">
        <v>7.01</v>
      </c>
      <c r="B160" s="16" t="s">
        <v>71</v>
      </c>
      <c r="C160" s="3" t="s">
        <v>28</v>
      </c>
      <c r="D160" s="117">
        <f>0.4*0.8*20</f>
        <v>6.4000000000000012</v>
      </c>
      <c r="E160" s="134">
        <f>SUM(F160)/D160</f>
        <v>66244.523921568631</v>
      </c>
      <c r="F160" s="160">
        <f>F165+F170</f>
        <v>423964.95309803932</v>
      </c>
    </row>
    <row r="161" spans="1:6" ht="18" customHeight="1">
      <c r="A161" s="201"/>
      <c r="B161" s="8" t="s">
        <v>29</v>
      </c>
      <c r="C161" s="9"/>
      <c r="D161" s="119"/>
      <c r="E161" s="133"/>
      <c r="F161" s="155"/>
    </row>
    <row r="162" spans="1:6" ht="18" customHeight="1">
      <c r="A162" s="201"/>
      <c r="B162" s="13" t="s">
        <v>30</v>
      </c>
      <c r="C162" s="9" t="s">
        <v>28</v>
      </c>
      <c r="D162" s="118">
        <f>D160*(10/17)*1.57</f>
        <v>5.910588235294119</v>
      </c>
      <c r="E162" s="133">
        <v>12000</v>
      </c>
      <c r="F162" s="155">
        <f>+D162*E162</f>
        <v>70927.058823529427</v>
      </c>
    </row>
    <row r="163" spans="1:6" s="64" customFormat="1" ht="18" customHeight="1">
      <c r="A163" s="201"/>
      <c r="B163" s="13" t="s">
        <v>11</v>
      </c>
      <c r="C163" s="9" t="s">
        <v>31</v>
      </c>
      <c r="D163" s="118">
        <f>D160*(1/17)*1.57*(1440/50)</f>
        <v>17.022494117647064</v>
      </c>
      <c r="E163" s="133">
        <v>12000</v>
      </c>
      <c r="F163" s="155">
        <f>E163*D163</f>
        <v>204269.92941176475</v>
      </c>
    </row>
    <row r="164" spans="1:6" ht="18" customHeight="1">
      <c r="A164" s="201"/>
      <c r="B164" s="13" t="s">
        <v>32</v>
      </c>
      <c r="C164" s="9" t="s">
        <v>28</v>
      </c>
      <c r="D164" s="118">
        <f>D160*(6/17)*1.57</f>
        <v>3.5463529411764716</v>
      </c>
      <c r="E164" s="133">
        <v>25000</v>
      </c>
      <c r="F164" s="155">
        <f>E164*D164</f>
        <v>88658.823529411791</v>
      </c>
    </row>
    <row r="165" spans="1:6" ht="18" customHeight="1">
      <c r="A165" s="201"/>
      <c r="B165" s="8" t="s">
        <v>5</v>
      </c>
      <c r="C165" s="9"/>
      <c r="D165" s="118"/>
      <c r="E165" s="133"/>
      <c r="F165" s="162">
        <f>F162+F163+F164</f>
        <v>363855.81176470598</v>
      </c>
    </row>
    <row r="166" spans="1:6" ht="18" customHeight="1">
      <c r="A166" s="201"/>
      <c r="B166" s="13"/>
      <c r="C166" s="9"/>
      <c r="D166" s="118"/>
      <c r="E166" s="133"/>
      <c r="F166" s="155"/>
    </row>
    <row r="167" spans="1:6" ht="18" customHeight="1">
      <c r="A167" s="200"/>
      <c r="B167" s="8" t="s">
        <v>33</v>
      </c>
      <c r="C167" s="9"/>
      <c r="D167" s="118"/>
      <c r="E167" s="133"/>
      <c r="F167" s="155"/>
    </row>
    <row r="168" spans="1:6" ht="18" customHeight="1">
      <c r="A168" s="200"/>
      <c r="B168" s="13" t="s">
        <v>34</v>
      </c>
      <c r="C168" s="9" t="s">
        <v>21</v>
      </c>
      <c r="D168" s="118">
        <f>D160/1.5</f>
        <v>4.2666666666666675</v>
      </c>
      <c r="E168" s="133">
        <v>6088.08</v>
      </c>
      <c r="F168" s="155">
        <f>+D168*E168</f>
        <v>25975.808000000005</v>
      </c>
    </row>
    <row r="169" spans="1:6" ht="18" customHeight="1">
      <c r="A169" s="200"/>
      <c r="B169" s="13" t="s">
        <v>7</v>
      </c>
      <c r="C169" s="9" t="s">
        <v>21</v>
      </c>
      <c r="D169" s="118">
        <f>+D168*2</f>
        <v>8.533333333333335</v>
      </c>
      <c r="E169" s="133">
        <v>4000</v>
      </c>
      <c r="F169" s="155">
        <f>+D169*E169</f>
        <v>34133.333333333343</v>
      </c>
    </row>
    <row r="170" spans="1:6" ht="18" customHeight="1">
      <c r="A170" s="168"/>
      <c r="B170" s="97" t="s">
        <v>9</v>
      </c>
      <c r="C170" s="28"/>
      <c r="D170" s="121"/>
      <c r="E170" s="135"/>
      <c r="F170" s="293">
        <f>SUM(F168:F169)</f>
        <v>60109.141333333348</v>
      </c>
    </row>
    <row r="171" spans="1:6" ht="18" customHeight="1">
      <c r="A171" s="199">
        <v>8.01</v>
      </c>
      <c r="B171" s="16" t="s">
        <v>35</v>
      </c>
      <c r="C171" s="35" t="s">
        <v>36</v>
      </c>
      <c r="D171" s="125">
        <f>147.6*0.25</f>
        <v>36.9</v>
      </c>
      <c r="E171" s="138">
        <f>SUM(F171)/D171</f>
        <v>1882.5152542372882</v>
      </c>
      <c r="F171" s="153">
        <f>F174+F179</f>
        <v>69464.812881355931</v>
      </c>
    </row>
    <row r="172" spans="1:6" ht="18" customHeight="1">
      <c r="A172" s="201"/>
      <c r="B172" s="8" t="s">
        <v>29</v>
      </c>
      <c r="C172" s="9"/>
      <c r="D172" s="118"/>
      <c r="E172" s="133"/>
      <c r="F172" s="155"/>
    </row>
    <row r="173" spans="1:6" ht="18" customHeight="1">
      <c r="A173" s="200"/>
      <c r="B173" s="13" t="s">
        <v>37</v>
      </c>
      <c r="C173" s="9" t="s">
        <v>38</v>
      </c>
      <c r="D173" s="137">
        <f>D171</f>
        <v>36.9</v>
      </c>
      <c r="E173" s="133">
        <f>2000/1.18</f>
        <v>1694.9152542372883</v>
      </c>
      <c r="F173" s="155">
        <f>+D173*E173</f>
        <v>62542.372881355936</v>
      </c>
    </row>
    <row r="174" spans="1:6" ht="18" customHeight="1">
      <c r="A174" s="170"/>
      <c r="B174" s="8" t="s">
        <v>5</v>
      </c>
      <c r="C174" s="12"/>
      <c r="D174" s="124"/>
      <c r="E174" s="135"/>
      <c r="F174" s="162">
        <f>F173</f>
        <v>62542.372881355936</v>
      </c>
    </row>
    <row r="175" spans="1:6" ht="18" customHeight="1">
      <c r="A175" s="200"/>
      <c r="B175" s="13"/>
      <c r="C175" s="9"/>
      <c r="D175" s="137"/>
      <c r="E175" s="133"/>
      <c r="F175" s="155"/>
    </row>
    <row r="176" spans="1:6" ht="18" customHeight="1">
      <c r="A176" s="235"/>
      <c r="B176" s="8" t="s">
        <v>33</v>
      </c>
      <c r="C176" s="9"/>
      <c r="D176" s="137"/>
      <c r="E176" s="133"/>
      <c r="F176" s="155"/>
    </row>
    <row r="177" spans="1:6" ht="18" customHeight="1">
      <c r="A177" s="200"/>
      <c r="B177" s="13" t="s">
        <v>34</v>
      </c>
      <c r="C177" s="9" t="s">
        <v>21</v>
      </c>
      <c r="D177" s="137">
        <f>D171/100</f>
        <v>0.36899999999999999</v>
      </c>
      <c r="E177" s="133">
        <v>10760</v>
      </c>
      <c r="F177" s="155">
        <f>+D177*E177</f>
        <v>3970.44</v>
      </c>
    </row>
    <row r="178" spans="1:6" ht="18" customHeight="1">
      <c r="A178" s="200"/>
      <c r="B178" s="13" t="s">
        <v>7</v>
      </c>
      <c r="C178" s="9" t="s">
        <v>21</v>
      </c>
      <c r="D178" s="137">
        <f>+D177*2</f>
        <v>0.73799999999999999</v>
      </c>
      <c r="E178" s="133">
        <v>4000</v>
      </c>
      <c r="F178" s="155">
        <f>+D178*E178</f>
        <v>2952</v>
      </c>
    </row>
    <row r="179" spans="1:6" ht="18" customHeight="1">
      <c r="A179" s="170"/>
      <c r="B179" s="8" t="s">
        <v>39</v>
      </c>
      <c r="C179" s="12"/>
      <c r="D179" s="124"/>
      <c r="E179" s="135"/>
      <c r="F179" s="162">
        <f>SUM(F177:F178)</f>
        <v>6922.4400000000005</v>
      </c>
    </row>
    <row r="180" spans="1:6" ht="18" customHeight="1">
      <c r="A180" s="170"/>
      <c r="B180" s="8"/>
      <c r="C180" s="12"/>
      <c r="D180" s="121"/>
      <c r="E180" s="135"/>
      <c r="F180" s="162"/>
    </row>
    <row r="181" spans="1:6" s="90" customFormat="1" ht="18" customHeight="1">
      <c r="A181" s="168">
        <v>9</v>
      </c>
      <c r="B181" s="484" t="s">
        <v>72</v>
      </c>
      <c r="C181" s="484"/>
      <c r="D181" s="484"/>
      <c r="E181" s="484"/>
      <c r="F181" s="485"/>
    </row>
    <row r="182" spans="1:6" ht="18" customHeight="1">
      <c r="A182" s="199">
        <v>9.01</v>
      </c>
      <c r="B182" s="16" t="s">
        <v>40</v>
      </c>
      <c r="C182" s="3" t="s">
        <v>1</v>
      </c>
      <c r="D182" s="117">
        <f>(20*3)-(1.89+5.7)</f>
        <v>52.41</v>
      </c>
      <c r="E182" s="134">
        <f>SUM(F182)/D182</f>
        <v>15002.706022253746</v>
      </c>
      <c r="F182" s="160">
        <f>F188+F193</f>
        <v>786291.82262631878</v>
      </c>
    </row>
    <row r="183" spans="1:6" ht="18" customHeight="1">
      <c r="A183" s="203"/>
      <c r="B183" s="103"/>
      <c r="C183" s="20" t="s">
        <v>28</v>
      </c>
      <c r="D183" s="137">
        <f>D182*0.2</f>
        <v>10.481999999999999</v>
      </c>
      <c r="E183" s="136"/>
      <c r="F183" s="165"/>
    </row>
    <row r="184" spans="1:6" ht="18" customHeight="1">
      <c r="A184" s="200"/>
      <c r="B184" s="8" t="s">
        <v>2</v>
      </c>
      <c r="C184" s="9"/>
      <c r="D184" s="118"/>
      <c r="E184" s="133"/>
      <c r="F184" s="155"/>
    </row>
    <row r="185" spans="1:6" ht="18" customHeight="1">
      <c r="A185" s="200"/>
      <c r="B185" s="48" t="s">
        <v>41</v>
      </c>
      <c r="C185" s="9" t="s">
        <v>31</v>
      </c>
      <c r="D185" s="118">
        <f>D183*0.2439*(1/7)*1.54*(1440/50)</f>
        <v>16.198362892800002</v>
      </c>
      <c r="E185" s="133">
        <v>12000</v>
      </c>
      <c r="F185" s="155">
        <f>D185*E185</f>
        <v>194380.35471360004</v>
      </c>
    </row>
    <row r="186" spans="1:6" ht="18" customHeight="1">
      <c r="A186" s="200"/>
      <c r="B186" s="48" t="s">
        <v>42</v>
      </c>
      <c r="C186" s="9" t="s">
        <v>28</v>
      </c>
      <c r="D186" s="118">
        <f>D183*0.2439*(6/7)*1.54</f>
        <v>3.3746589360000003</v>
      </c>
      <c r="E186" s="133">
        <v>25000</v>
      </c>
      <c r="F186" s="155">
        <f>D186*E186</f>
        <v>84366.473400000003</v>
      </c>
    </row>
    <row r="187" spans="1:6" ht="18" customHeight="1">
      <c r="A187" s="200"/>
      <c r="B187" s="48" t="s">
        <v>43</v>
      </c>
      <c r="C187" s="9" t="s">
        <v>44</v>
      </c>
      <c r="D187" s="118">
        <f>D183*1.15/(0.235*0.1125*0.075)</f>
        <v>6079.3947990543729</v>
      </c>
      <c r="E187" s="133">
        <v>50</v>
      </c>
      <c r="F187" s="155">
        <f>D187*E187</f>
        <v>303969.73995271866</v>
      </c>
    </row>
    <row r="188" spans="1:6" ht="18" customHeight="1">
      <c r="A188" s="170"/>
      <c r="B188" s="60" t="s">
        <v>5</v>
      </c>
      <c r="C188" s="12"/>
      <c r="D188" s="121"/>
      <c r="E188" s="135"/>
      <c r="F188" s="162">
        <f>SUM(F185:F187)</f>
        <v>582716.56806631875</v>
      </c>
    </row>
    <row r="189" spans="1:6" ht="18" customHeight="1">
      <c r="A189" s="200"/>
      <c r="B189" s="48"/>
      <c r="C189" s="9"/>
      <c r="D189" s="118"/>
      <c r="E189" s="133"/>
      <c r="F189" s="155"/>
    </row>
    <row r="190" spans="1:6" ht="18" customHeight="1">
      <c r="A190" s="200"/>
      <c r="B190" s="8" t="s">
        <v>6</v>
      </c>
      <c r="C190" s="9"/>
      <c r="D190" s="118"/>
      <c r="E190" s="133"/>
      <c r="F190" s="155"/>
    </row>
    <row r="191" spans="1:6" ht="18" customHeight="1">
      <c r="A191" s="200"/>
      <c r="B191" s="13" t="s">
        <v>34</v>
      </c>
      <c r="C191" s="9" t="s">
        <v>8</v>
      </c>
      <c r="D191" s="118">
        <f>D183/1</f>
        <v>10.481999999999999</v>
      </c>
      <c r="E191" s="133">
        <v>6088.08</v>
      </c>
      <c r="F191" s="155">
        <f>D191*E191</f>
        <v>63815.254559999994</v>
      </c>
    </row>
    <row r="192" spans="1:6" ht="18" customHeight="1">
      <c r="A192" s="200"/>
      <c r="B192" s="13" t="s">
        <v>7</v>
      </c>
      <c r="C192" s="9" t="s">
        <v>8</v>
      </c>
      <c r="D192" s="118">
        <f>(D183/1.2)*4</f>
        <v>34.94</v>
      </c>
      <c r="E192" s="133">
        <v>4000</v>
      </c>
      <c r="F192" s="155">
        <f>D192*E192</f>
        <v>139760</v>
      </c>
    </row>
    <row r="193" spans="1:6" ht="18" customHeight="1">
      <c r="A193" s="174"/>
      <c r="B193" s="60" t="s">
        <v>9</v>
      </c>
      <c r="C193" s="61"/>
      <c r="D193" s="120"/>
      <c r="E193" s="279"/>
      <c r="F193" s="290">
        <f>SUM(F191:F192)</f>
        <v>203575.25456</v>
      </c>
    </row>
    <row r="194" spans="1:6" ht="18" customHeight="1">
      <c r="A194" s="174"/>
      <c r="B194" s="60"/>
      <c r="C194" s="61"/>
      <c r="D194" s="120"/>
      <c r="E194" s="279"/>
      <c r="F194" s="290"/>
    </row>
    <row r="195" spans="1:6" s="90" customFormat="1" ht="18" customHeight="1">
      <c r="A195" s="174">
        <v>10</v>
      </c>
      <c r="B195" s="480" t="s">
        <v>79</v>
      </c>
      <c r="C195" s="480"/>
      <c r="D195" s="480"/>
      <c r="E195" s="480"/>
      <c r="F195" s="481"/>
    </row>
    <row r="196" spans="1:6" ht="18">
      <c r="A196" s="199">
        <v>10.01</v>
      </c>
      <c r="B196" s="2" t="s">
        <v>74</v>
      </c>
      <c r="C196" s="15" t="s">
        <v>45</v>
      </c>
      <c r="D196" s="175">
        <f>3.5*0.25*0.2</f>
        <v>0.17500000000000002</v>
      </c>
      <c r="E196" s="281"/>
      <c r="F196" s="160">
        <f>F203+F208+F213</f>
        <v>22911.243089430896</v>
      </c>
    </row>
    <row r="197" spans="1:6" ht="18">
      <c r="A197" s="235"/>
      <c r="B197" s="177" t="s">
        <v>29</v>
      </c>
      <c r="C197" s="178"/>
      <c r="D197" s="179"/>
      <c r="E197" s="180"/>
      <c r="F197" s="181"/>
    </row>
    <row r="198" spans="1:6" ht="18">
      <c r="A198" s="235"/>
      <c r="B198" s="182" t="s">
        <v>14</v>
      </c>
      <c r="C198" s="18" t="s">
        <v>45</v>
      </c>
      <c r="D198" s="179">
        <f>D196*(4/7)*1.57</f>
        <v>0.15700000000000003</v>
      </c>
      <c r="E198" s="180">
        <v>25000</v>
      </c>
      <c r="F198" s="181">
        <f>D198*E198</f>
        <v>3925.0000000000009</v>
      </c>
    </row>
    <row r="199" spans="1:6" ht="18">
      <c r="A199" s="235"/>
      <c r="B199" s="182" t="s">
        <v>13</v>
      </c>
      <c r="C199" s="18" t="s">
        <v>45</v>
      </c>
      <c r="D199" s="179">
        <f>D196*(2/7)*1.54</f>
        <v>7.7000000000000013E-2</v>
      </c>
      <c r="E199" s="180">
        <v>25000</v>
      </c>
      <c r="F199" s="181">
        <f>D199*E199</f>
        <v>1925.0000000000002</v>
      </c>
    </row>
    <row r="200" spans="1:6" ht="18">
      <c r="A200" s="235"/>
      <c r="B200" s="182" t="s">
        <v>11</v>
      </c>
      <c r="C200" s="178" t="s">
        <v>12</v>
      </c>
      <c r="D200" s="179">
        <f>D196*(1/7)*1.57*(1440/50)</f>
        <v>1.1304000000000003</v>
      </c>
      <c r="E200" s="180">
        <v>12000</v>
      </c>
      <c r="F200" s="181">
        <f>D200*E200</f>
        <v>13564.800000000003</v>
      </c>
    </row>
    <row r="201" spans="1:6" ht="18">
      <c r="A201" s="206"/>
      <c r="B201" s="102" t="s">
        <v>15</v>
      </c>
      <c r="C201" s="56" t="s">
        <v>16</v>
      </c>
      <c r="D201" s="137">
        <f>D206*10</f>
        <v>0.29166666666666669</v>
      </c>
      <c r="E201" s="136">
        <v>1587</v>
      </c>
      <c r="F201" s="295">
        <f>D201*E201</f>
        <v>462.87500000000006</v>
      </c>
    </row>
    <row r="202" spans="1:6" ht="18">
      <c r="A202" s="206"/>
      <c r="B202" s="102" t="s">
        <v>17</v>
      </c>
      <c r="C202" s="56" t="s">
        <v>16</v>
      </c>
      <c r="D202" s="137">
        <f>D207*5</f>
        <v>0.14583333333333334</v>
      </c>
      <c r="E202" s="136">
        <v>1587</v>
      </c>
      <c r="F202" s="295">
        <f>D202*E202</f>
        <v>231.43750000000003</v>
      </c>
    </row>
    <row r="203" spans="1:6" ht="18">
      <c r="A203" s="235"/>
      <c r="B203" s="177" t="s">
        <v>5</v>
      </c>
      <c r="C203" s="178"/>
      <c r="D203" s="179"/>
      <c r="E203" s="180"/>
      <c r="F203" s="297">
        <f>F198+F199+F200</f>
        <v>19414.800000000003</v>
      </c>
    </row>
    <row r="204" spans="1:6" ht="18">
      <c r="A204" s="235"/>
      <c r="B204" s="182"/>
      <c r="C204" s="178"/>
      <c r="D204" s="179"/>
      <c r="E204" s="180"/>
      <c r="F204" s="181"/>
    </row>
    <row r="205" spans="1:6" ht="18">
      <c r="A205" s="206"/>
      <c r="B205" s="101" t="s">
        <v>19</v>
      </c>
      <c r="C205" s="56"/>
      <c r="D205" s="137"/>
      <c r="E205" s="136"/>
      <c r="F205" s="295"/>
    </row>
    <row r="206" spans="1:6" ht="18">
      <c r="A206" s="206"/>
      <c r="B206" s="102" t="s">
        <v>20</v>
      </c>
      <c r="C206" s="56" t="s">
        <v>21</v>
      </c>
      <c r="D206" s="137">
        <f>D196/6</f>
        <v>2.9166666666666671E-2</v>
      </c>
      <c r="E206" s="136">
        <v>50000</v>
      </c>
      <c r="F206" s="295">
        <f>D206*E206</f>
        <v>1458.3333333333335</v>
      </c>
    </row>
    <row r="207" spans="1:6" ht="18">
      <c r="A207" s="206"/>
      <c r="B207" s="102" t="s">
        <v>22</v>
      </c>
      <c r="C207" s="56" t="s">
        <v>21</v>
      </c>
      <c r="D207" s="137">
        <f>D196/6</f>
        <v>2.9166666666666671E-2</v>
      </c>
      <c r="E207" s="136">
        <v>15000</v>
      </c>
      <c r="F207" s="295">
        <f>D207*E207</f>
        <v>437.50000000000006</v>
      </c>
    </row>
    <row r="208" spans="1:6" ht="19.5">
      <c r="A208" s="207"/>
      <c r="B208" s="101" t="s">
        <v>23</v>
      </c>
      <c r="C208" s="57"/>
      <c r="D208" s="124"/>
      <c r="E208" s="262"/>
      <c r="F208" s="296">
        <f>SUM(F206:F207)</f>
        <v>1895.8333333333335</v>
      </c>
    </row>
    <row r="209" spans="1:6" ht="19.5">
      <c r="A209" s="207"/>
      <c r="B209" s="101"/>
      <c r="C209" s="57"/>
      <c r="D209" s="124"/>
      <c r="E209" s="262"/>
      <c r="F209" s="296"/>
    </row>
    <row r="210" spans="1:6" ht="18">
      <c r="A210" s="238"/>
      <c r="B210" s="177" t="s">
        <v>33</v>
      </c>
      <c r="C210" s="178"/>
      <c r="D210" s="179"/>
      <c r="E210" s="180"/>
      <c r="F210" s="181"/>
    </row>
    <row r="211" spans="1:6" ht="18">
      <c r="A211" s="238"/>
      <c r="B211" s="182" t="s">
        <v>34</v>
      </c>
      <c r="C211" s="178" t="s">
        <v>21</v>
      </c>
      <c r="D211" s="179">
        <f>D196/1.64</f>
        <v>0.10670731707317074</v>
      </c>
      <c r="E211" s="180">
        <v>7000</v>
      </c>
      <c r="F211" s="181">
        <f>+D211*E211</f>
        <v>746.95121951219517</v>
      </c>
    </row>
    <row r="212" spans="1:6" ht="18">
      <c r="A212" s="238"/>
      <c r="B212" s="182" t="s">
        <v>7</v>
      </c>
      <c r="C212" s="178" t="s">
        <v>21</v>
      </c>
      <c r="D212" s="179">
        <f>+D211*2</f>
        <v>0.21341463414634149</v>
      </c>
      <c r="E212" s="180">
        <v>4000</v>
      </c>
      <c r="F212" s="181">
        <f>+D212*E212</f>
        <v>853.65853658536594</v>
      </c>
    </row>
    <row r="213" spans="1:6" s="63" customFormat="1" ht="19.5">
      <c r="A213" s="188"/>
      <c r="B213" s="177" t="s">
        <v>119</v>
      </c>
      <c r="C213" s="185"/>
      <c r="D213" s="186"/>
      <c r="E213" s="187"/>
      <c r="F213" s="297">
        <f>F211+F212</f>
        <v>1600.6097560975611</v>
      </c>
    </row>
    <row r="214" spans="1:6" ht="18">
      <c r="A214" s="238"/>
      <c r="B214" s="182"/>
      <c r="C214" s="178"/>
      <c r="D214" s="179"/>
      <c r="E214" s="180"/>
      <c r="F214" s="181"/>
    </row>
    <row r="215" spans="1:6" s="63" customFormat="1" ht="19.5">
      <c r="A215" s="188">
        <v>11</v>
      </c>
      <c r="B215" s="488" t="s">
        <v>76</v>
      </c>
      <c r="C215" s="488"/>
      <c r="D215" s="488"/>
      <c r="E215" s="488"/>
      <c r="F215" s="489"/>
    </row>
    <row r="216" spans="1:6" ht="18">
      <c r="A216" s="199">
        <v>11.01</v>
      </c>
      <c r="B216" s="99" t="s">
        <v>75</v>
      </c>
      <c r="C216" s="41" t="s">
        <v>36</v>
      </c>
      <c r="D216" s="117">
        <v>25</v>
      </c>
      <c r="E216" s="134">
        <f>F216/D216</f>
        <v>4599.8987692307701</v>
      </c>
      <c r="F216" s="298">
        <f>F223+F233</f>
        <v>114997.46923076925</v>
      </c>
    </row>
    <row r="217" spans="1:6" ht="18">
      <c r="A217" s="203"/>
      <c r="B217" s="19"/>
      <c r="C217" s="20"/>
      <c r="D217" s="137">
        <f>D216*0.05</f>
        <v>1.25</v>
      </c>
      <c r="E217" s="136"/>
      <c r="F217" s="165"/>
    </row>
    <row r="218" spans="1:6" ht="18">
      <c r="A218" s="204"/>
      <c r="B218" s="97" t="s">
        <v>2</v>
      </c>
      <c r="C218" s="23"/>
      <c r="D218" s="118"/>
      <c r="E218" s="133"/>
      <c r="F218" s="292"/>
    </row>
    <row r="219" spans="1:6" ht="18">
      <c r="A219" s="201"/>
      <c r="B219" s="13" t="s">
        <v>30</v>
      </c>
      <c r="C219" s="9" t="s">
        <v>28</v>
      </c>
      <c r="D219" s="118">
        <f>D216*0.1*1.5</f>
        <v>3.75</v>
      </c>
      <c r="E219" s="133">
        <v>12000</v>
      </c>
      <c r="F219" s="155">
        <f>+D219*E219</f>
        <v>45000</v>
      </c>
    </row>
    <row r="220" spans="1:6" ht="18">
      <c r="A220" s="204"/>
      <c r="B220" s="98" t="s">
        <v>11</v>
      </c>
      <c r="C220" s="23" t="s">
        <v>12</v>
      </c>
      <c r="D220" s="118">
        <f>D217*(1/13)*1.57*(1440/50)</f>
        <v>4.3476923076923084</v>
      </c>
      <c r="E220" s="133">
        <v>12000</v>
      </c>
      <c r="F220" s="292">
        <f>D220*E220</f>
        <v>52172.307692307702</v>
      </c>
    </row>
    <row r="221" spans="1:6" ht="18">
      <c r="A221" s="204"/>
      <c r="B221" s="98" t="s">
        <v>13</v>
      </c>
      <c r="C221" s="23" t="s">
        <v>10</v>
      </c>
      <c r="D221" s="118">
        <f>D217*(4/13)*1.57</f>
        <v>0.60384615384615392</v>
      </c>
      <c r="E221" s="133">
        <v>25000</v>
      </c>
      <c r="F221" s="292">
        <f>D221*E221</f>
        <v>15096.153846153848</v>
      </c>
    </row>
    <row r="222" spans="1:6" ht="18">
      <c r="A222" s="204"/>
      <c r="B222" s="98" t="s">
        <v>14</v>
      </c>
      <c r="C222" s="23" t="s">
        <v>10</v>
      </c>
      <c r="D222" s="118">
        <f>D217*(8/13)*1.57</f>
        <v>1.2076923076923078</v>
      </c>
      <c r="E222" s="133">
        <v>25000</v>
      </c>
      <c r="F222" s="292">
        <f>D222*E222</f>
        <v>30192.307692307695</v>
      </c>
    </row>
    <row r="223" spans="1:6" ht="19.5">
      <c r="A223" s="168"/>
      <c r="B223" s="97" t="s">
        <v>18</v>
      </c>
      <c r="C223" s="28"/>
      <c r="D223" s="121"/>
      <c r="E223" s="135"/>
      <c r="F223" s="293">
        <f>SUM(F220:F222)</f>
        <v>97460.769230769249</v>
      </c>
    </row>
    <row r="224" spans="1:6" ht="19.5">
      <c r="A224" s="168"/>
      <c r="B224" s="97"/>
      <c r="C224" s="28"/>
      <c r="D224" s="121"/>
      <c r="E224" s="135"/>
      <c r="F224" s="293"/>
    </row>
    <row r="225" spans="1:6" ht="18">
      <c r="A225" s="206"/>
      <c r="B225" s="101" t="s">
        <v>19</v>
      </c>
      <c r="C225" s="56"/>
      <c r="D225" s="137"/>
      <c r="E225" s="136"/>
      <c r="F225" s="295"/>
    </row>
    <row r="226" spans="1:6" ht="18">
      <c r="A226" s="206"/>
      <c r="B226" s="102" t="s">
        <v>20</v>
      </c>
      <c r="C226" s="56" t="s">
        <v>21</v>
      </c>
      <c r="D226" s="137">
        <f>D212/6</f>
        <v>3.5569105691056917E-2</v>
      </c>
      <c r="E226" s="136">
        <v>50000</v>
      </c>
      <c r="F226" s="295">
        <f>D226*E226</f>
        <v>1778.4552845528458</v>
      </c>
    </row>
    <row r="227" spans="1:6" ht="18">
      <c r="A227" s="206"/>
      <c r="B227" s="102" t="s">
        <v>22</v>
      </c>
      <c r="C227" s="56" t="s">
        <v>21</v>
      </c>
      <c r="D227" s="137">
        <f>D212/6</f>
        <v>3.5569105691056917E-2</v>
      </c>
      <c r="E227" s="136">
        <v>15000</v>
      </c>
      <c r="F227" s="295">
        <f>D227*E227</f>
        <v>533.53658536585374</v>
      </c>
    </row>
    <row r="228" spans="1:6" ht="19.5">
      <c r="A228" s="207"/>
      <c r="B228" s="101" t="s">
        <v>23</v>
      </c>
      <c r="C228" s="57"/>
      <c r="D228" s="124"/>
      <c r="E228" s="262"/>
      <c r="F228" s="296">
        <f>SUM(F226:F227)</f>
        <v>2311.9918699186996</v>
      </c>
    </row>
    <row r="229" spans="1:6" ht="18">
      <c r="A229" s="206"/>
      <c r="B229" s="102"/>
      <c r="C229" s="56"/>
      <c r="D229" s="137"/>
      <c r="E229" s="136"/>
      <c r="F229" s="295"/>
    </row>
    <row r="230" spans="1:6" ht="18">
      <c r="A230" s="204"/>
      <c r="B230" s="97" t="s">
        <v>6</v>
      </c>
      <c r="C230" s="23"/>
      <c r="D230" s="118"/>
      <c r="E230" s="133"/>
      <c r="F230" s="292"/>
    </row>
    <row r="231" spans="1:6" ht="18">
      <c r="A231" s="204"/>
      <c r="B231" s="98" t="s">
        <v>24</v>
      </c>
      <c r="C231" s="23" t="s">
        <v>21</v>
      </c>
      <c r="D231" s="118">
        <f>(D217/6)*2</f>
        <v>0.41666666666666669</v>
      </c>
      <c r="E231" s="133">
        <v>6088.08</v>
      </c>
      <c r="F231" s="292">
        <f>D231*E231</f>
        <v>2536.7000000000003</v>
      </c>
    </row>
    <row r="232" spans="1:6" ht="18">
      <c r="A232" s="204"/>
      <c r="B232" s="98" t="s">
        <v>25</v>
      </c>
      <c r="C232" s="23" t="s">
        <v>21</v>
      </c>
      <c r="D232" s="118">
        <f>(D217/6)*18</f>
        <v>3.75</v>
      </c>
      <c r="E232" s="133">
        <v>4000</v>
      </c>
      <c r="F232" s="292">
        <f>D232*E232</f>
        <v>15000</v>
      </c>
    </row>
    <row r="233" spans="1:6" ht="19.5">
      <c r="A233" s="168"/>
      <c r="B233" s="97" t="s">
        <v>27</v>
      </c>
      <c r="C233" s="28"/>
      <c r="D233" s="121"/>
      <c r="E233" s="135"/>
      <c r="F233" s="293">
        <f>SUM(F231:F232)</f>
        <v>17536.7</v>
      </c>
    </row>
    <row r="234" spans="1:6" ht="18">
      <c r="A234" s="204"/>
      <c r="B234" s="98"/>
      <c r="C234" s="23"/>
      <c r="D234" s="118"/>
      <c r="E234" s="133"/>
      <c r="F234" s="292"/>
    </row>
    <row r="235" spans="1:6" ht="18">
      <c r="A235" s="199">
        <v>12.01</v>
      </c>
      <c r="B235" s="2" t="s">
        <v>46</v>
      </c>
      <c r="C235" s="65" t="s">
        <v>47</v>
      </c>
      <c r="D235" s="126">
        <v>25</v>
      </c>
      <c r="E235" s="282">
        <f>F235/D235</f>
        <v>4745.6996666666664</v>
      </c>
      <c r="F235" s="153">
        <f>F239+F244</f>
        <v>118642.49166666665</v>
      </c>
    </row>
    <row r="236" spans="1:6" ht="18">
      <c r="A236" s="201"/>
      <c r="B236" s="60" t="s">
        <v>2</v>
      </c>
      <c r="C236" s="44"/>
      <c r="D236" s="127"/>
      <c r="E236" s="283"/>
      <c r="F236" s="155"/>
    </row>
    <row r="237" spans="1:6" ht="18">
      <c r="A237" s="201"/>
      <c r="B237" s="48" t="s">
        <v>11</v>
      </c>
      <c r="C237" s="44" t="s">
        <v>12</v>
      </c>
      <c r="D237" s="127">
        <f>D235*(1/6)*0.032*(1440/50)*1.54</f>
        <v>5.9135999999999989</v>
      </c>
      <c r="E237" s="283">
        <v>12000</v>
      </c>
      <c r="F237" s="155">
        <f>E237*D237</f>
        <v>70963.199999999983</v>
      </c>
    </row>
    <row r="238" spans="1:6" ht="18">
      <c r="A238" s="201"/>
      <c r="B238" s="48" t="s">
        <v>13</v>
      </c>
      <c r="C238" s="44" t="s">
        <v>10</v>
      </c>
      <c r="D238" s="127">
        <f>D235*(5/6)*0.032*1.54</f>
        <v>1.0266666666666668</v>
      </c>
      <c r="E238" s="283">
        <v>25000</v>
      </c>
      <c r="F238" s="155">
        <f>E238*D238</f>
        <v>25666.666666666672</v>
      </c>
    </row>
    <row r="239" spans="1:6" ht="19.5">
      <c r="A239" s="168"/>
      <c r="B239" s="97" t="s">
        <v>5</v>
      </c>
      <c r="C239" s="28"/>
      <c r="D239" s="121"/>
      <c r="E239" s="135"/>
      <c r="F239" s="293">
        <f>SUM(F237:F238)</f>
        <v>96629.866666666654</v>
      </c>
    </row>
    <row r="240" spans="1:6" ht="18">
      <c r="A240" s="204"/>
      <c r="B240" s="98"/>
      <c r="C240" s="23"/>
      <c r="D240" s="118"/>
      <c r="E240" s="133"/>
      <c r="F240" s="292"/>
    </row>
    <row r="241" spans="1:6" ht="18">
      <c r="A241" s="204"/>
      <c r="B241" s="97" t="s">
        <v>6</v>
      </c>
      <c r="C241" s="23"/>
      <c r="D241" s="118"/>
      <c r="E241" s="133"/>
      <c r="F241" s="292"/>
    </row>
    <row r="242" spans="1:6" ht="18">
      <c r="A242" s="204"/>
      <c r="B242" s="98" t="s">
        <v>34</v>
      </c>
      <c r="C242" s="23" t="s">
        <v>8</v>
      </c>
      <c r="D242" s="118">
        <f>D235/16</f>
        <v>1.5625</v>
      </c>
      <c r="E242" s="133">
        <v>6088.08</v>
      </c>
      <c r="F242" s="292">
        <f>D242*E242</f>
        <v>9512.625</v>
      </c>
    </row>
    <row r="243" spans="1:6" ht="18">
      <c r="A243" s="204"/>
      <c r="B243" s="98" t="s">
        <v>7</v>
      </c>
      <c r="C243" s="23" t="s">
        <v>8</v>
      </c>
      <c r="D243" s="118">
        <f>D242*2</f>
        <v>3.125</v>
      </c>
      <c r="E243" s="133">
        <v>4000</v>
      </c>
      <c r="F243" s="292">
        <f>D243*E243</f>
        <v>12500</v>
      </c>
    </row>
    <row r="244" spans="1:6" ht="19.5">
      <c r="A244" s="168"/>
      <c r="B244" s="97" t="s">
        <v>9</v>
      </c>
      <c r="C244" s="28"/>
      <c r="D244" s="121"/>
      <c r="E244" s="135"/>
      <c r="F244" s="293">
        <f>SUM(F242:F243)</f>
        <v>22012.625</v>
      </c>
    </row>
    <row r="245" spans="1:6" ht="19.5">
      <c r="A245" s="168"/>
      <c r="B245" s="97"/>
      <c r="C245" s="28"/>
      <c r="D245" s="121"/>
      <c r="E245" s="135"/>
      <c r="F245" s="293"/>
    </row>
    <row r="246" spans="1:6" s="90" customFormat="1" ht="19.5">
      <c r="A246" s="168">
        <v>13</v>
      </c>
      <c r="B246" s="484" t="s">
        <v>48</v>
      </c>
      <c r="C246" s="484"/>
      <c r="D246" s="484"/>
      <c r="E246" s="484"/>
      <c r="F246" s="485"/>
    </row>
    <row r="247" spans="1:6" ht="18">
      <c r="A247" s="205">
        <v>13.01</v>
      </c>
      <c r="B247" s="16" t="s">
        <v>49</v>
      </c>
      <c r="C247" s="35" t="s">
        <v>50</v>
      </c>
      <c r="D247" s="125">
        <f>(20*3)-(1.89+5.7)</f>
        <v>52.41</v>
      </c>
      <c r="E247" s="138">
        <f>F247/D247</f>
        <v>3911.1605423728815</v>
      </c>
      <c r="F247" s="153">
        <f>F251+F256</f>
        <v>204983.92402576271</v>
      </c>
    </row>
    <row r="248" spans="1:6" ht="18">
      <c r="A248" s="204"/>
      <c r="B248" s="60" t="s">
        <v>51</v>
      </c>
      <c r="C248" s="44"/>
      <c r="D248" s="118"/>
      <c r="E248" s="133"/>
      <c r="F248" s="155"/>
    </row>
    <row r="249" spans="1:6" ht="18">
      <c r="A249" s="203"/>
      <c r="B249" s="48" t="s">
        <v>52</v>
      </c>
      <c r="C249" s="44" t="s">
        <v>12</v>
      </c>
      <c r="D249" s="118">
        <f>D247*0.015*(1/5)*1.54*(1440/50)</f>
        <v>6.9734649599999994</v>
      </c>
      <c r="E249" s="133">
        <f>11000/1.18</f>
        <v>9322.033898305086</v>
      </c>
      <c r="F249" s="155">
        <f>D249*E249</f>
        <v>65006.876745762718</v>
      </c>
    </row>
    <row r="250" spans="1:6" ht="18">
      <c r="A250" s="239"/>
      <c r="B250" s="48" t="s">
        <v>13</v>
      </c>
      <c r="C250" s="44" t="s">
        <v>28</v>
      </c>
      <c r="D250" s="118">
        <f>D247*0.015*1.54*(4/5)</f>
        <v>0.96853679999999986</v>
      </c>
      <c r="E250" s="133">
        <v>25000</v>
      </c>
      <c r="F250" s="155">
        <f>D250*E250</f>
        <v>24213.42</v>
      </c>
    </row>
    <row r="251" spans="1:6" ht="19.5">
      <c r="A251" s="192"/>
      <c r="B251" s="60" t="s">
        <v>5</v>
      </c>
      <c r="C251" s="61"/>
      <c r="D251" s="121"/>
      <c r="E251" s="135"/>
      <c r="F251" s="162">
        <f>SUM(F249:F250)</f>
        <v>89220.296745762724</v>
      </c>
    </row>
    <row r="252" spans="1:6" ht="18">
      <c r="A252" s="239"/>
      <c r="B252" s="48"/>
      <c r="C252" s="44"/>
      <c r="D252" s="118"/>
      <c r="E252" s="133"/>
      <c r="F252" s="155"/>
    </row>
    <row r="253" spans="1:6" ht="18">
      <c r="A253" s="239"/>
      <c r="B253" s="60" t="s">
        <v>53</v>
      </c>
      <c r="C253" s="44"/>
      <c r="D253" s="118"/>
      <c r="E253" s="133"/>
      <c r="F253" s="155"/>
    </row>
    <row r="254" spans="1:6" ht="18">
      <c r="A254" s="239"/>
      <c r="B254" s="48" t="s">
        <v>34</v>
      </c>
      <c r="C254" s="44" t="s">
        <v>8</v>
      </c>
      <c r="D254" s="118">
        <f>D247/10</f>
        <v>5.2409999999999997</v>
      </c>
      <c r="E254" s="133">
        <v>6088.08</v>
      </c>
      <c r="F254" s="155">
        <f>D254*E254</f>
        <v>31907.627279999997</v>
      </c>
    </row>
    <row r="255" spans="1:6" ht="18">
      <c r="A255" s="239"/>
      <c r="B255" s="48" t="s">
        <v>7</v>
      </c>
      <c r="C255" s="44" t="s">
        <v>8</v>
      </c>
      <c r="D255" s="118">
        <f>D254*4</f>
        <v>20.963999999999999</v>
      </c>
      <c r="E255" s="133">
        <v>4000</v>
      </c>
      <c r="F255" s="155">
        <f>D255*E255</f>
        <v>83856</v>
      </c>
    </row>
    <row r="256" spans="1:6" ht="19.5">
      <c r="A256" s="192"/>
      <c r="B256" s="97" t="s">
        <v>54</v>
      </c>
      <c r="C256" s="61"/>
      <c r="D256" s="121"/>
      <c r="E256" s="135"/>
      <c r="F256" s="162">
        <f>SUM(F254:F255)</f>
        <v>115763.62728</v>
      </c>
    </row>
    <row r="257" spans="1:6" ht="18">
      <c r="A257" s="200"/>
      <c r="B257" s="48"/>
      <c r="C257" s="44"/>
      <c r="D257" s="118"/>
      <c r="E257" s="133"/>
      <c r="F257" s="155"/>
    </row>
    <row r="258" spans="1:6" s="90" customFormat="1" ht="19.5">
      <c r="A258" s="192">
        <v>14</v>
      </c>
      <c r="B258" s="104" t="s">
        <v>55</v>
      </c>
      <c r="C258" s="94"/>
      <c r="D258" s="129"/>
      <c r="E258" s="284"/>
      <c r="F258" s="299"/>
    </row>
    <row r="259" spans="1:6" ht="18">
      <c r="A259" s="241">
        <v>14.01</v>
      </c>
      <c r="B259" s="16" t="s">
        <v>49</v>
      </c>
      <c r="C259" s="35" t="s">
        <v>1</v>
      </c>
      <c r="D259" s="125">
        <f>D247</f>
        <v>52.41</v>
      </c>
      <c r="E259" s="138">
        <f>F259/D259</f>
        <v>2189.9300000000003</v>
      </c>
      <c r="F259" s="153">
        <f>F267+F272</f>
        <v>114774.23130000001</v>
      </c>
    </row>
    <row r="260" spans="1:6" ht="18">
      <c r="A260" s="200"/>
      <c r="B260" s="60" t="s">
        <v>2</v>
      </c>
      <c r="C260" s="44"/>
      <c r="D260" s="118"/>
      <c r="E260" s="133"/>
      <c r="F260" s="155"/>
    </row>
    <row r="261" spans="1:6" ht="18">
      <c r="A261" s="242"/>
      <c r="B261" s="48" t="s">
        <v>56</v>
      </c>
      <c r="C261" s="44" t="s">
        <v>57</v>
      </c>
      <c r="D261" s="118">
        <f>D259*0.07*3</f>
        <v>11.0061</v>
      </c>
      <c r="E261" s="133">
        <f>105000/20</f>
        <v>5250</v>
      </c>
      <c r="F261" s="155">
        <f>E261*D261</f>
        <v>57782.025000000001</v>
      </c>
    </row>
    <row r="262" spans="1:6" ht="18">
      <c r="A262" s="239"/>
      <c r="B262" s="48" t="str">
        <f>'[1]Emulsion Paint'!$B$19</f>
        <v>Induit/undercoat ( 2 coats)</v>
      </c>
      <c r="C262" s="44" t="s">
        <v>57</v>
      </c>
      <c r="D262" s="118">
        <f>D259*0.07*2</f>
        <v>7.3374000000000006</v>
      </c>
      <c r="E262" s="133">
        <f>20000/20</f>
        <v>1000</v>
      </c>
      <c r="F262" s="155">
        <f t="shared" ref="F262:F266" si="0">E262*D262</f>
        <v>7337.4000000000005</v>
      </c>
    </row>
    <row r="263" spans="1:6" ht="18">
      <c r="A263" s="239"/>
      <c r="B263" s="48" t="str">
        <f>'[1]Emulsion Paint'!$B$24</f>
        <v>Roller</v>
      </c>
      <c r="C263" s="44" t="s">
        <v>44</v>
      </c>
      <c r="D263" s="118">
        <f>D259/100</f>
        <v>0.52410000000000001</v>
      </c>
      <c r="E263" s="133">
        <v>2000</v>
      </c>
      <c r="F263" s="155">
        <f t="shared" si="0"/>
        <v>1048.2</v>
      </c>
    </row>
    <row r="264" spans="1:6" ht="18">
      <c r="A264" s="239"/>
      <c r="B264" s="48" t="str">
        <f>'[1]Emulsion Paint'!$B$23</f>
        <v>Brush</v>
      </c>
      <c r="C264" s="44" t="s">
        <v>44</v>
      </c>
      <c r="D264" s="118">
        <f>D259/100</f>
        <v>0.52410000000000001</v>
      </c>
      <c r="E264" s="133">
        <v>1000</v>
      </c>
      <c r="F264" s="155">
        <f t="shared" si="0"/>
        <v>524.1</v>
      </c>
    </row>
    <row r="265" spans="1:6" ht="18">
      <c r="A265" s="239"/>
      <c r="B265" s="48" t="s">
        <v>58</v>
      </c>
      <c r="C265" s="44" t="s">
        <v>59</v>
      </c>
      <c r="D265" s="118">
        <f>D259/100</f>
        <v>0.52410000000000001</v>
      </c>
      <c r="E265" s="133">
        <v>500</v>
      </c>
      <c r="F265" s="155">
        <f t="shared" si="0"/>
        <v>262.05</v>
      </c>
    </row>
    <row r="266" spans="1:6" ht="18">
      <c r="A266" s="239"/>
      <c r="B266" s="48" t="s">
        <v>60</v>
      </c>
      <c r="C266" s="44" t="s">
        <v>44</v>
      </c>
      <c r="D266" s="118">
        <f>D259/50</f>
        <v>1.0482</v>
      </c>
      <c r="E266" s="133">
        <v>5000</v>
      </c>
      <c r="F266" s="155">
        <f t="shared" si="0"/>
        <v>5241</v>
      </c>
    </row>
    <row r="267" spans="1:6" ht="19.5">
      <c r="A267" s="192"/>
      <c r="B267" s="60" t="s">
        <v>61</v>
      </c>
      <c r="C267" s="61"/>
      <c r="D267" s="121"/>
      <c r="E267" s="135"/>
      <c r="F267" s="162">
        <f>SUM(F261:F266)</f>
        <v>72194.775000000009</v>
      </c>
    </row>
    <row r="268" spans="1:6" ht="18">
      <c r="A268" s="239"/>
      <c r="B268" s="48"/>
      <c r="C268" s="44"/>
      <c r="D268" s="118"/>
      <c r="E268" s="133"/>
      <c r="F268" s="155"/>
    </row>
    <row r="269" spans="1:6" ht="18">
      <c r="A269" s="239"/>
      <c r="B269" s="60" t="s">
        <v>6</v>
      </c>
      <c r="C269" s="44"/>
      <c r="D269" s="118"/>
      <c r="E269" s="133"/>
      <c r="F269" s="155"/>
    </row>
    <row r="270" spans="1:6" ht="18">
      <c r="A270" s="239"/>
      <c r="B270" s="48" t="s">
        <v>7</v>
      </c>
      <c r="C270" s="44" t="s">
        <v>62</v>
      </c>
      <c r="D270" s="118">
        <f>D271</f>
        <v>3.8652374999999997</v>
      </c>
      <c r="E270" s="133">
        <v>4000</v>
      </c>
      <c r="F270" s="155">
        <f>E270*D270</f>
        <v>15460.949999999999</v>
      </c>
    </row>
    <row r="271" spans="1:6" ht="18">
      <c r="A271" s="239"/>
      <c r="B271" s="48" t="s">
        <v>63</v>
      </c>
      <c r="C271" s="44" t="s">
        <v>62</v>
      </c>
      <c r="D271" s="118">
        <f>D259*(0.59/8)</f>
        <v>3.8652374999999997</v>
      </c>
      <c r="E271" s="133">
        <v>7016</v>
      </c>
      <c r="F271" s="155">
        <f>E271*D271</f>
        <v>27118.506299999997</v>
      </c>
    </row>
    <row r="272" spans="1:6" ht="19.5">
      <c r="A272" s="168"/>
      <c r="B272" s="97" t="s">
        <v>9</v>
      </c>
      <c r="C272" s="28"/>
      <c r="D272" s="121"/>
      <c r="E272" s="135"/>
      <c r="F272" s="293">
        <f>SUM(F270:F271)</f>
        <v>42579.456299999998</v>
      </c>
    </row>
    <row r="273" spans="1:6" ht="18">
      <c r="A273" s="243"/>
      <c r="B273" s="106"/>
      <c r="C273" s="47"/>
      <c r="D273" s="128"/>
      <c r="E273" s="141"/>
      <c r="F273" s="300"/>
    </row>
    <row r="274" spans="1:6" s="90" customFormat="1" ht="19.5">
      <c r="A274" s="168">
        <v>15</v>
      </c>
      <c r="B274" s="484" t="s">
        <v>126</v>
      </c>
      <c r="C274" s="484"/>
      <c r="D274" s="484"/>
      <c r="E274" s="484"/>
      <c r="F274" s="485"/>
    </row>
    <row r="275" spans="1:6" ht="18">
      <c r="A275" s="205">
        <v>15.01</v>
      </c>
      <c r="B275" s="34" t="s">
        <v>64</v>
      </c>
      <c r="C275" s="35" t="s">
        <v>50</v>
      </c>
      <c r="D275" s="125">
        <f>D247</f>
        <v>52.41</v>
      </c>
      <c r="E275" s="138">
        <f>F275/D275</f>
        <v>4012.2128192090399</v>
      </c>
      <c r="F275" s="153">
        <f>F280+F285</f>
        <v>210280.07385474577</v>
      </c>
    </row>
    <row r="276" spans="1:6" ht="18">
      <c r="A276" s="204"/>
      <c r="B276" s="60" t="s">
        <v>51</v>
      </c>
      <c r="C276" s="44"/>
      <c r="D276" s="118"/>
      <c r="E276" s="133"/>
      <c r="F276" s="155"/>
    </row>
    <row r="277" spans="1:6" ht="18">
      <c r="A277" s="203"/>
      <c r="B277" s="48" t="s">
        <v>52</v>
      </c>
      <c r="C277" s="44" t="s">
        <v>12</v>
      </c>
      <c r="D277" s="118">
        <f>D275*0.01*(1/4)*1.54*(1440/50)+(D275*0.003*(1/6)*1.57*(1440/50))</f>
        <v>6.9961060799999997</v>
      </c>
      <c r="E277" s="133">
        <f>11000/1.18</f>
        <v>9322.033898305086</v>
      </c>
      <c r="F277" s="155">
        <f>D277*E277</f>
        <v>65217.93803389831</v>
      </c>
    </row>
    <row r="278" spans="1:6" ht="18">
      <c r="A278" s="239"/>
      <c r="B278" s="48" t="s">
        <v>13</v>
      </c>
      <c r="C278" s="44" t="s">
        <v>28</v>
      </c>
      <c r="D278" s="118">
        <f>D275*0.01*1.5*1.54*(3/4)</f>
        <v>0.90800325000000004</v>
      </c>
      <c r="E278" s="133">
        <v>25000</v>
      </c>
      <c r="F278" s="155">
        <f>D278*E278</f>
        <v>22700.081249999999</v>
      </c>
    </row>
    <row r="279" spans="1:6" ht="18">
      <c r="A279" s="239"/>
      <c r="B279" s="48" t="s">
        <v>65</v>
      </c>
      <c r="C279" s="44" t="s">
        <v>31</v>
      </c>
      <c r="D279" s="118">
        <f>D275*0.003*(5/6)*1.57*(1440/50)</f>
        <v>5.9244264000000006</v>
      </c>
      <c r="E279" s="133">
        <f>9000/1.18</f>
        <v>7627.1186440677966</v>
      </c>
      <c r="F279" s="155">
        <f>D279*E279</f>
        <v>45186.303050847462</v>
      </c>
    </row>
    <row r="280" spans="1:6" ht="18">
      <c r="A280" s="92"/>
      <c r="B280" s="48" t="s">
        <v>5</v>
      </c>
      <c r="C280" s="44"/>
      <c r="D280" s="118"/>
      <c r="E280" s="133"/>
      <c r="F280" s="155">
        <f>SUM(F277:F279)</f>
        <v>133104.32233474578</v>
      </c>
    </row>
    <row r="281" spans="1:6" ht="18">
      <c r="A281" s="92"/>
      <c r="B281" s="48"/>
      <c r="C281" s="44"/>
      <c r="D281" s="118"/>
      <c r="E281" s="133"/>
      <c r="F281" s="155"/>
    </row>
    <row r="282" spans="1:6" ht="18">
      <c r="A282" s="92"/>
      <c r="B282" s="60" t="s">
        <v>53</v>
      </c>
      <c r="C282" s="44"/>
      <c r="D282" s="118"/>
      <c r="E282" s="133"/>
      <c r="F282" s="155"/>
    </row>
    <row r="283" spans="1:6" ht="18">
      <c r="A283" s="92"/>
      <c r="B283" s="48" t="s">
        <v>34</v>
      </c>
      <c r="C283" s="44" t="s">
        <v>8</v>
      </c>
      <c r="D283" s="118">
        <f>D275/15</f>
        <v>3.4939999999999998</v>
      </c>
      <c r="E283" s="133">
        <v>6088.08</v>
      </c>
      <c r="F283" s="155">
        <f>D283*E283</f>
        <v>21271.751519999998</v>
      </c>
    </row>
    <row r="284" spans="1:6" ht="18">
      <c r="A284" s="92"/>
      <c r="B284" s="48" t="s">
        <v>7</v>
      </c>
      <c r="C284" s="44" t="s">
        <v>8</v>
      </c>
      <c r="D284" s="118">
        <f>D283*4</f>
        <v>13.975999999999999</v>
      </c>
      <c r="E284" s="133">
        <v>4000</v>
      </c>
      <c r="F284" s="155">
        <f>D284*E284</f>
        <v>55904</v>
      </c>
    </row>
    <row r="285" spans="1:6" ht="19.5">
      <c r="A285" s="93"/>
      <c r="B285" s="97" t="s">
        <v>54</v>
      </c>
      <c r="C285" s="61"/>
      <c r="D285" s="121"/>
      <c r="E285" s="135"/>
      <c r="F285" s="162">
        <f>SUM(F283:F284)</f>
        <v>77175.751519999991</v>
      </c>
    </row>
    <row r="286" spans="1:6" ht="18">
      <c r="A286" s="91"/>
      <c r="B286" s="98"/>
      <c r="C286" s="23"/>
      <c r="D286" s="118"/>
      <c r="E286" s="133"/>
      <c r="F286" s="292"/>
    </row>
    <row r="287" spans="1:6" ht="19.649999999999999" customHeight="1">
      <c r="A287" s="84">
        <v>16</v>
      </c>
      <c r="B287" s="484" t="s">
        <v>143</v>
      </c>
      <c r="C287" s="484"/>
      <c r="D287" s="484"/>
      <c r="E287" s="484"/>
      <c r="F287" s="485"/>
    </row>
    <row r="288" spans="1:6" ht="18">
      <c r="A288" s="208">
        <v>16.010000000000002</v>
      </c>
      <c r="B288" s="16" t="s">
        <v>66</v>
      </c>
      <c r="C288" s="35" t="s">
        <v>1</v>
      </c>
      <c r="D288" s="138">
        <f>D275+D247</f>
        <v>104.82</v>
      </c>
      <c r="E288" s="138">
        <f>F288/D288</f>
        <v>3900.6992307692308</v>
      </c>
      <c r="F288" s="153">
        <f>F298+F303</f>
        <v>408871.29336923076</v>
      </c>
    </row>
    <row r="289" spans="1:6" ht="18">
      <c r="A289" s="91"/>
      <c r="B289" s="60" t="s">
        <v>2</v>
      </c>
      <c r="C289" s="44"/>
      <c r="D289" s="133"/>
      <c r="E289" s="133"/>
      <c r="F289" s="155"/>
    </row>
    <row r="290" spans="1:6" ht="18">
      <c r="A290" s="91"/>
      <c r="B290" s="48" t="str">
        <f>'[1]Emulsion Paint'!$B$22</f>
        <v>Emulsion paint ( 3 coats)</v>
      </c>
      <c r="C290" s="44" t="s">
        <v>57</v>
      </c>
      <c r="D290" s="133">
        <f>D288*0.07*3</f>
        <v>22.0122</v>
      </c>
      <c r="E290" s="133">
        <f>65000/20</f>
        <v>3250</v>
      </c>
      <c r="F290" s="155">
        <f t="shared" ref="F290:F297" si="1">E290*D290</f>
        <v>71539.649999999994</v>
      </c>
    </row>
    <row r="291" spans="1:6" ht="18">
      <c r="A291" s="231"/>
      <c r="B291" s="48" t="str">
        <f>'[1]Emulsion Paint'!$B$20</f>
        <v>Whiting/stucco ( 2 coats)</v>
      </c>
      <c r="C291" s="44" t="s">
        <v>67</v>
      </c>
      <c r="D291" s="133">
        <f>D288*((50*2)/65)*2</f>
        <v>322.52307692307693</v>
      </c>
      <c r="E291" s="133">
        <f>16000/50</f>
        <v>320</v>
      </c>
      <c r="F291" s="155">
        <f t="shared" si="1"/>
        <v>103207.38461538462</v>
      </c>
    </row>
    <row r="292" spans="1:6" ht="18">
      <c r="A292" s="92"/>
      <c r="B292" s="48" t="str">
        <f>'[1]Emulsion Paint'!$B$19</f>
        <v>Induit/undercoat ( 2 coats)</v>
      </c>
      <c r="C292" s="44" t="s">
        <v>57</v>
      </c>
      <c r="D292" s="133">
        <f>D288*0.07*2</f>
        <v>14.674800000000001</v>
      </c>
      <c r="E292" s="133">
        <f>20000/20</f>
        <v>1000</v>
      </c>
      <c r="F292" s="155">
        <f t="shared" si="1"/>
        <v>14674.800000000001</v>
      </c>
    </row>
    <row r="293" spans="1:6" ht="18">
      <c r="A293" s="92"/>
      <c r="B293" s="48" t="s">
        <v>68</v>
      </c>
      <c r="C293" s="44" t="s">
        <v>57</v>
      </c>
      <c r="D293" s="133">
        <f>D288*((30/65)*2)</f>
        <v>96.756923076923073</v>
      </c>
      <c r="E293" s="133">
        <f>20000/20</f>
        <v>1000</v>
      </c>
      <c r="F293" s="155">
        <f t="shared" si="1"/>
        <v>96756.923076923078</v>
      </c>
    </row>
    <row r="294" spans="1:6" ht="18">
      <c r="A294" s="92"/>
      <c r="B294" s="48" t="str">
        <f>'[1]Emulsion Paint'!$B$21</f>
        <v>Colle</v>
      </c>
      <c r="C294" s="44" t="s">
        <v>69</v>
      </c>
      <c r="D294" s="133">
        <f>D288*((1/65)*2)</f>
        <v>3.2252307692307691</v>
      </c>
      <c r="E294" s="133">
        <f>10500</f>
        <v>10500</v>
      </c>
      <c r="F294" s="155">
        <f t="shared" si="1"/>
        <v>33864.923076923078</v>
      </c>
    </row>
    <row r="295" spans="1:6" ht="18">
      <c r="A295" s="92"/>
      <c r="B295" s="48" t="str">
        <f>'[1]Emulsion Paint'!$B$24</f>
        <v>Roller</v>
      </c>
      <c r="C295" s="44" t="s">
        <v>44</v>
      </c>
      <c r="D295" s="118">
        <f>D288/100</f>
        <v>1.0482</v>
      </c>
      <c r="E295" s="133">
        <v>2000</v>
      </c>
      <c r="F295" s="155">
        <f t="shared" si="1"/>
        <v>2096.4</v>
      </c>
    </row>
    <row r="296" spans="1:6" ht="18">
      <c r="A296" s="92"/>
      <c r="B296" s="48" t="str">
        <f>'[1]Emulsion Paint'!$B$23</f>
        <v>Brush</v>
      </c>
      <c r="C296" s="44" t="s">
        <v>44</v>
      </c>
      <c r="D296" s="118">
        <f>D288/100</f>
        <v>1.0482</v>
      </c>
      <c r="E296" s="133">
        <v>1000</v>
      </c>
      <c r="F296" s="155">
        <f t="shared" si="1"/>
        <v>1048.2</v>
      </c>
    </row>
    <row r="297" spans="1:6" ht="18">
      <c r="A297" s="92"/>
      <c r="B297" s="48" t="s">
        <v>58</v>
      </c>
      <c r="C297" s="44" t="s">
        <v>59</v>
      </c>
      <c r="D297" s="118">
        <f>D288/100</f>
        <v>1.0482</v>
      </c>
      <c r="E297" s="133">
        <v>500</v>
      </c>
      <c r="F297" s="155">
        <f t="shared" si="1"/>
        <v>524.1</v>
      </c>
    </row>
    <row r="298" spans="1:6" ht="19.5">
      <c r="A298" s="93"/>
      <c r="B298" s="60" t="s">
        <v>5</v>
      </c>
      <c r="C298" s="61"/>
      <c r="D298" s="121"/>
      <c r="E298" s="135"/>
      <c r="F298" s="162">
        <f>SUM(F290:F297)</f>
        <v>323712.38076923077</v>
      </c>
    </row>
    <row r="299" spans="1:6" ht="18">
      <c r="A299" s="92"/>
      <c r="B299" s="48"/>
      <c r="C299" s="44"/>
      <c r="D299" s="118"/>
      <c r="E299" s="133"/>
      <c r="F299" s="155"/>
    </row>
    <row r="300" spans="1:6" ht="18">
      <c r="A300" s="92"/>
      <c r="B300" s="60" t="s">
        <v>6</v>
      </c>
      <c r="C300" s="44"/>
      <c r="D300" s="133"/>
      <c r="E300" s="133"/>
      <c r="F300" s="155"/>
    </row>
    <row r="301" spans="1:6" ht="18">
      <c r="A301" s="92"/>
      <c r="B301" s="48" t="s">
        <v>7</v>
      </c>
      <c r="C301" s="44" t="s">
        <v>62</v>
      </c>
      <c r="D301" s="133">
        <f>D302</f>
        <v>7.7304749999999993</v>
      </c>
      <c r="E301" s="133">
        <v>4000</v>
      </c>
      <c r="F301" s="155">
        <f>E301*D301</f>
        <v>30921.899999999998</v>
      </c>
    </row>
    <row r="302" spans="1:6" ht="18">
      <c r="A302" s="92"/>
      <c r="B302" s="48" t="s">
        <v>70</v>
      </c>
      <c r="C302" s="44" t="s">
        <v>62</v>
      </c>
      <c r="D302" s="133">
        <f>D288*(0.59/8)</f>
        <v>7.7304749999999993</v>
      </c>
      <c r="E302" s="133">
        <v>7016</v>
      </c>
      <c r="F302" s="155">
        <f>E302*D302</f>
        <v>54237.012599999995</v>
      </c>
    </row>
    <row r="303" spans="1:6" ht="19.5">
      <c r="A303" s="93"/>
      <c r="B303" s="60" t="s">
        <v>54</v>
      </c>
      <c r="C303" s="61"/>
      <c r="D303" s="135"/>
      <c r="E303" s="135"/>
      <c r="F303" s="162">
        <f>SUM(F301:F302)</f>
        <v>85158.912599999996</v>
      </c>
    </row>
    <row r="304" spans="1:6" ht="19.5">
      <c r="A304" s="93"/>
      <c r="B304" s="60"/>
      <c r="C304" s="61"/>
      <c r="D304" s="135"/>
      <c r="E304" s="135"/>
      <c r="F304" s="162"/>
    </row>
    <row r="305" spans="1:6" ht="37.4" customHeight="1">
      <c r="A305" s="321">
        <v>17</v>
      </c>
      <c r="B305" s="475" t="s">
        <v>133</v>
      </c>
      <c r="C305" s="475"/>
      <c r="D305" s="475"/>
      <c r="E305" s="475"/>
      <c r="F305" s="476"/>
    </row>
    <row r="306" spans="1:6" ht="18">
      <c r="A306" s="1">
        <v>17.010000000000002</v>
      </c>
      <c r="B306" s="2" t="s">
        <v>130</v>
      </c>
      <c r="C306" s="274" t="s">
        <v>131</v>
      </c>
      <c r="D306" s="272">
        <v>2</v>
      </c>
      <c r="E306" s="134">
        <f>F306/D306</f>
        <v>608380</v>
      </c>
      <c r="F306" s="160">
        <f>F309+F314</f>
        <v>1216760</v>
      </c>
    </row>
    <row r="307" spans="1:6" ht="18">
      <c r="A307" s="229"/>
      <c r="B307" s="8" t="s">
        <v>29</v>
      </c>
      <c r="C307" s="9"/>
      <c r="D307" s="133"/>
      <c r="E307" s="133"/>
      <c r="F307" s="155"/>
    </row>
    <row r="308" spans="1:6" ht="18">
      <c r="A308" s="86"/>
      <c r="B308" s="13" t="s">
        <v>145</v>
      </c>
      <c r="C308" s="9" t="s">
        <v>146</v>
      </c>
      <c r="D308" s="133">
        <f>D306</f>
        <v>2</v>
      </c>
      <c r="E308" s="133">
        <v>595000</v>
      </c>
      <c r="F308" s="155">
        <f>+D308*E308</f>
        <v>1190000</v>
      </c>
    </row>
    <row r="309" spans="1:6" ht="19.5">
      <c r="A309" s="87"/>
      <c r="B309" s="8" t="s">
        <v>5</v>
      </c>
      <c r="C309" s="12"/>
      <c r="D309" s="135"/>
      <c r="E309" s="135"/>
      <c r="F309" s="162">
        <f>F308</f>
        <v>1190000</v>
      </c>
    </row>
    <row r="310" spans="1:6" ht="18">
      <c r="A310" s="86"/>
      <c r="B310" s="13"/>
      <c r="C310" s="9"/>
      <c r="D310" s="133"/>
      <c r="E310" s="133"/>
      <c r="F310" s="155"/>
    </row>
    <row r="311" spans="1:6" ht="18">
      <c r="A311" s="230"/>
      <c r="B311" s="8" t="s">
        <v>33</v>
      </c>
      <c r="C311" s="9"/>
      <c r="D311" s="133"/>
      <c r="E311" s="133"/>
      <c r="F311" s="155"/>
    </row>
    <row r="312" spans="1:6" ht="18">
      <c r="A312" s="86"/>
      <c r="B312" s="13" t="s">
        <v>34</v>
      </c>
      <c r="C312" s="9" t="s">
        <v>21</v>
      </c>
      <c r="D312" s="118">
        <f>D308/2</f>
        <v>1</v>
      </c>
      <c r="E312" s="133">
        <v>10760</v>
      </c>
      <c r="F312" s="155">
        <f>+D312*E312</f>
        <v>10760</v>
      </c>
    </row>
    <row r="313" spans="1:6" ht="18">
      <c r="A313" s="86"/>
      <c r="B313" s="13" t="s">
        <v>7</v>
      </c>
      <c r="C313" s="9" t="s">
        <v>21</v>
      </c>
      <c r="D313" s="118">
        <f>+D312*4</f>
        <v>4</v>
      </c>
      <c r="E313" s="133">
        <v>4000</v>
      </c>
      <c r="F313" s="155">
        <f>+D313*E313</f>
        <v>16000</v>
      </c>
    </row>
    <row r="314" spans="1:6" ht="19.5">
      <c r="A314" s="87"/>
      <c r="B314" s="8" t="s">
        <v>39</v>
      </c>
      <c r="C314" s="12"/>
      <c r="D314" s="135"/>
      <c r="E314" s="135"/>
      <c r="F314" s="162">
        <f>SUM(F312:F313)</f>
        <v>26760</v>
      </c>
    </row>
    <row r="315" spans="1:6">
      <c r="A315" s="322"/>
      <c r="B315" s="48"/>
      <c r="C315" s="311"/>
      <c r="D315" s="323"/>
      <c r="E315" s="313"/>
      <c r="F315" s="314"/>
    </row>
    <row r="316" spans="1:6" ht="36" customHeight="1">
      <c r="A316" s="321">
        <v>18</v>
      </c>
      <c r="B316" s="475" t="s">
        <v>134</v>
      </c>
      <c r="C316" s="475"/>
      <c r="D316" s="475"/>
      <c r="E316" s="475"/>
      <c r="F316" s="476"/>
    </row>
    <row r="317" spans="1:6" ht="18">
      <c r="A317" s="1">
        <v>18.010000000000002</v>
      </c>
      <c r="B317" s="2" t="s">
        <v>167</v>
      </c>
      <c r="C317" s="274" t="s">
        <v>131</v>
      </c>
      <c r="D317" s="272">
        <v>1</v>
      </c>
      <c r="E317" s="286">
        <f>F317/D317</f>
        <v>406088.51373599999</v>
      </c>
      <c r="F317" s="324">
        <f>F319+F325</f>
        <v>406088.51373599999</v>
      </c>
    </row>
    <row r="318" spans="1:6" ht="18">
      <c r="A318" s="229"/>
      <c r="B318" s="8" t="s">
        <v>29</v>
      </c>
      <c r="C318" s="9"/>
      <c r="D318" s="133"/>
      <c r="E318" s="133"/>
      <c r="F318" s="155"/>
    </row>
    <row r="319" spans="1:6" ht="18">
      <c r="A319" s="86"/>
      <c r="B319" s="48" t="s">
        <v>165</v>
      </c>
      <c r="C319" s="250" t="s">
        <v>131</v>
      </c>
      <c r="D319" s="270">
        <v>1</v>
      </c>
      <c r="E319" s="287">
        <f>0.7*561012.16248</f>
        <v>392708.51373599999</v>
      </c>
      <c r="F319" s="316">
        <f>D319*E319</f>
        <v>392708.51373599999</v>
      </c>
    </row>
    <row r="320" spans="1:6" ht="18">
      <c r="A320" s="86"/>
      <c r="B320" s="8" t="s">
        <v>5</v>
      </c>
      <c r="C320" s="12"/>
      <c r="D320" s="135"/>
      <c r="E320" s="135"/>
      <c r="F320" s="162"/>
    </row>
    <row r="321" spans="1:6" ht="18">
      <c r="A321" s="230"/>
      <c r="B321" s="13"/>
      <c r="C321" s="9"/>
      <c r="D321" s="133"/>
      <c r="E321" s="133"/>
      <c r="F321" s="155"/>
    </row>
    <row r="322" spans="1:6" ht="18">
      <c r="A322" s="86"/>
      <c r="B322" s="8" t="s">
        <v>33</v>
      </c>
      <c r="C322" s="9"/>
      <c r="D322" s="133"/>
      <c r="E322" s="133"/>
      <c r="F322" s="155"/>
    </row>
    <row r="323" spans="1:6" ht="18">
      <c r="A323" s="86"/>
      <c r="B323" s="13" t="s">
        <v>34</v>
      </c>
      <c r="C323" s="9" t="s">
        <v>21</v>
      </c>
      <c r="D323" s="118">
        <f>D317/2</f>
        <v>0.5</v>
      </c>
      <c r="E323" s="133">
        <v>10760</v>
      </c>
      <c r="F323" s="155">
        <f>+D323*E323</f>
        <v>5380</v>
      </c>
    </row>
    <row r="324" spans="1:6" ht="19.5">
      <c r="A324" s="87"/>
      <c r="B324" s="13" t="s">
        <v>7</v>
      </c>
      <c r="C324" s="9" t="s">
        <v>21</v>
      </c>
      <c r="D324" s="118">
        <f>+D323*4</f>
        <v>2</v>
      </c>
      <c r="E324" s="133">
        <v>4000</v>
      </c>
      <c r="F324" s="155">
        <f>+D324*E324</f>
        <v>8000</v>
      </c>
    </row>
    <row r="325" spans="1:6" ht="16.5">
      <c r="A325" s="317"/>
      <c r="B325" s="318" t="s">
        <v>39</v>
      </c>
      <c r="C325" s="244"/>
      <c r="D325" s="197"/>
      <c r="E325" s="197"/>
      <c r="F325" s="198">
        <f>SUM(F323:F324)</f>
        <v>13380</v>
      </c>
    </row>
    <row r="326" spans="1:6" s="347" customFormat="1" ht="36.5">
      <c r="A326" s="345"/>
      <c r="B326" s="477" t="s">
        <v>179</v>
      </c>
      <c r="C326" s="477"/>
      <c r="D326" s="477"/>
      <c r="E326" s="477"/>
      <c r="F326" s="346">
        <f>F306+F288+F275+F259+F247+F235+F216+F196+F182+F171+F160+F147+F136+F125+F112+F100+F89+F78+F58+F40+F30+F22+F14+F7+F3</f>
        <v>4415307.5730799288</v>
      </c>
    </row>
  </sheetData>
  <mergeCells count="15">
    <mergeCell ref="B305:F305"/>
    <mergeCell ref="B316:F316"/>
    <mergeCell ref="B326:E326"/>
    <mergeCell ref="B2:F2"/>
    <mergeCell ref="B13:F13"/>
    <mergeCell ref="B39:F39"/>
    <mergeCell ref="B77:F77"/>
    <mergeCell ref="B124:F124"/>
    <mergeCell ref="B287:F287"/>
    <mergeCell ref="B274:F274"/>
    <mergeCell ref="B246:F246"/>
    <mergeCell ref="B159:F159"/>
    <mergeCell ref="B181:F181"/>
    <mergeCell ref="B195:F195"/>
    <mergeCell ref="B215:F2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6"/>
  <sheetViews>
    <sheetView topLeftCell="A317" workbookViewId="0">
      <selection activeCell="B3" sqref="B3"/>
    </sheetView>
  </sheetViews>
  <sheetFormatPr defaultColWidth="8.90625" defaultRowHeight="15.5"/>
  <cols>
    <col min="1" max="1" width="8.90625" style="232"/>
    <col min="2" max="2" width="72.08984375" style="107" customWidth="1"/>
    <col min="3" max="3" width="8.90625" style="110"/>
    <col min="4" max="4" width="18.6328125" style="145" customWidth="1"/>
    <col min="5" max="5" width="20.453125" style="330" customWidth="1"/>
    <col min="6" max="6" width="29.90625" style="285" bestFit="1" customWidth="1"/>
  </cols>
  <sheetData>
    <row r="1" spans="1:6" s="70" customFormat="1" ht="35.4" customHeight="1">
      <c r="A1" s="228"/>
      <c r="B1" s="150" t="s">
        <v>120</v>
      </c>
      <c r="C1" s="150" t="s">
        <v>121</v>
      </c>
      <c r="D1" s="150" t="s">
        <v>122</v>
      </c>
      <c r="E1" s="303" t="s">
        <v>123</v>
      </c>
      <c r="F1" s="305" t="s">
        <v>124</v>
      </c>
    </row>
    <row r="2" spans="1:6" ht="20.399999999999999" customHeight="1">
      <c r="A2" s="151">
        <v>1</v>
      </c>
      <c r="B2" s="478" t="s">
        <v>93</v>
      </c>
      <c r="C2" s="478"/>
      <c r="D2" s="478"/>
      <c r="E2" s="478"/>
      <c r="F2" s="479"/>
    </row>
    <row r="3" spans="1:6" ht="19.399999999999999" customHeight="1">
      <c r="A3" s="199">
        <v>1.01</v>
      </c>
      <c r="B3" s="16" t="s">
        <v>94</v>
      </c>
      <c r="C3" s="35" t="s">
        <v>28</v>
      </c>
      <c r="D3" s="125">
        <f>34*0.8*0.4</f>
        <v>10.880000000000003</v>
      </c>
      <c r="E3" s="138">
        <f>SUM(F3)/D3</f>
        <v>4444.4444444444443</v>
      </c>
      <c r="F3" s="153">
        <f>F6</f>
        <v>48355.555555555569</v>
      </c>
    </row>
    <row r="4" spans="1:6" ht="19.399999999999999" customHeight="1">
      <c r="A4" s="200"/>
      <c r="B4" s="8" t="s">
        <v>6</v>
      </c>
      <c r="C4" s="9"/>
      <c r="D4" s="114"/>
      <c r="E4" s="133"/>
      <c r="F4" s="155"/>
    </row>
    <row r="5" spans="1:6" ht="19.399999999999999" customHeight="1">
      <c r="A5" s="200"/>
      <c r="B5" s="13" t="s">
        <v>7</v>
      </c>
      <c r="C5" s="9" t="s">
        <v>8</v>
      </c>
      <c r="D5" s="118">
        <f>D3/0.9</f>
        <v>12.088888888888892</v>
      </c>
      <c r="E5" s="133">
        <v>4000</v>
      </c>
      <c r="F5" s="155">
        <f>+D5*E5</f>
        <v>48355.555555555569</v>
      </c>
    </row>
    <row r="6" spans="1:6" ht="19.399999999999999" customHeight="1">
      <c r="A6" s="174"/>
      <c r="B6" s="60" t="s">
        <v>9</v>
      </c>
      <c r="C6" s="61"/>
      <c r="D6" s="120"/>
      <c r="E6" s="279"/>
      <c r="F6" s="290">
        <f>F5</f>
        <v>48355.555555555569</v>
      </c>
    </row>
    <row r="7" spans="1:6" ht="19.399999999999999" customHeight="1">
      <c r="A7" s="199">
        <v>1.03</v>
      </c>
      <c r="B7" s="16" t="s">
        <v>114</v>
      </c>
      <c r="C7" s="35" t="s">
        <v>28</v>
      </c>
      <c r="D7" s="131">
        <f>(0.75*0.75*1.25)*8</f>
        <v>5.625</v>
      </c>
      <c r="E7" s="138">
        <f>SUM(F7)/D7</f>
        <v>5640</v>
      </c>
      <c r="F7" s="153">
        <f>F11</f>
        <v>31725</v>
      </c>
    </row>
    <row r="8" spans="1:6" ht="19.399999999999999" customHeight="1">
      <c r="A8" s="200"/>
      <c r="B8" s="8" t="s">
        <v>6</v>
      </c>
      <c r="C8" s="9"/>
      <c r="D8" s="118"/>
      <c r="E8" s="133"/>
      <c r="F8" s="155"/>
    </row>
    <row r="9" spans="1:6" ht="19.399999999999999" customHeight="1">
      <c r="A9" s="200"/>
      <c r="B9" s="13" t="s">
        <v>92</v>
      </c>
      <c r="C9" s="9" t="s">
        <v>8</v>
      </c>
      <c r="D9" s="118">
        <f>D10/10</f>
        <v>0.625</v>
      </c>
      <c r="E9" s="133">
        <v>10760</v>
      </c>
      <c r="F9" s="155">
        <f>D9*E9</f>
        <v>6725</v>
      </c>
    </row>
    <row r="10" spans="1:6" ht="19.399999999999999" customHeight="1">
      <c r="A10" s="200"/>
      <c r="B10" s="13" t="s">
        <v>7</v>
      </c>
      <c r="C10" s="9" t="s">
        <v>8</v>
      </c>
      <c r="D10" s="118">
        <f>D7/0.9</f>
        <v>6.25</v>
      </c>
      <c r="E10" s="133">
        <v>4000</v>
      </c>
      <c r="F10" s="155">
        <f>+D10*E10</f>
        <v>25000</v>
      </c>
    </row>
    <row r="11" spans="1:6" ht="19.399999999999999" customHeight="1">
      <c r="A11" s="174"/>
      <c r="B11" s="60" t="s">
        <v>9</v>
      </c>
      <c r="C11" s="61"/>
      <c r="D11" s="115"/>
      <c r="E11" s="279"/>
      <c r="F11" s="290">
        <f>SUM(F9:F10)</f>
        <v>31725</v>
      </c>
    </row>
    <row r="12" spans="1:6" ht="19.399999999999999" customHeight="1">
      <c r="A12" s="201"/>
      <c r="B12" s="60"/>
      <c r="C12" s="44"/>
      <c r="D12" s="116"/>
      <c r="E12" s="280"/>
      <c r="F12" s="291"/>
    </row>
    <row r="13" spans="1:6" ht="37.65" customHeight="1">
      <c r="A13" s="158">
        <v>2</v>
      </c>
      <c r="B13" s="480" t="s">
        <v>0</v>
      </c>
      <c r="C13" s="480"/>
      <c r="D13" s="480"/>
      <c r="E13" s="480"/>
      <c r="F13" s="481"/>
    </row>
    <row r="14" spans="1:6" ht="19.399999999999999" customHeight="1">
      <c r="A14" s="202">
        <v>2.0099999999999998</v>
      </c>
      <c r="B14" s="2" t="s">
        <v>71</v>
      </c>
      <c r="C14" s="3" t="s">
        <v>1</v>
      </c>
      <c r="D14" s="117">
        <f>34*0.4</f>
        <v>13.600000000000001</v>
      </c>
      <c r="E14" s="134">
        <f>F14/D14</f>
        <v>1066.6666666666667</v>
      </c>
      <c r="F14" s="160">
        <f>F16+F20</f>
        <v>14506.666666666668</v>
      </c>
    </row>
    <row r="15" spans="1:6" ht="19.399999999999999" customHeight="1">
      <c r="A15" s="200"/>
      <c r="B15" s="8" t="s">
        <v>2</v>
      </c>
      <c r="C15" s="9"/>
      <c r="D15" s="118"/>
      <c r="E15" s="133"/>
      <c r="F15" s="155"/>
    </row>
    <row r="16" spans="1:6" ht="19.399999999999999" customHeight="1">
      <c r="A16" s="200"/>
      <c r="B16" s="48" t="s">
        <v>3</v>
      </c>
      <c r="C16" s="9" t="s">
        <v>4</v>
      </c>
      <c r="D16" s="118">
        <f>D14/10</f>
        <v>1.36</v>
      </c>
      <c r="E16" s="133">
        <v>10000</v>
      </c>
      <c r="F16" s="155">
        <f>D16*E16</f>
        <v>13600.000000000002</v>
      </c>
    </row>
    <row r="17" spans="1:6" ht="19.399999999999999" customHeight="1">
      <c r="A17" s="170"/>
      <c r="B17" s="60" t="s">
        <v>5</v>
      </c>
      <c r="C17" s="12"/>
      <c r="D17" s="121"/>
      <c r="E17" s="135"/>
      <c r="F17" s="162">
        <f>SUM(F16)</f>
        <v>13600.000000000002</v>
      </c>
    </row>
    <row r="18" spans="1:6" ht="19.399999999999999" customHeight="1">
      <c r="A18" s="200"/>
      <c r="B18" s="48"/>
      <c r="C18" s="9"/>
      <c r="D18" s="118"/>
      <c r="E18" s="133"/>
      <c r="F18" s="155"/>
    </row>
    <row r="19" spans="1:6" ht="19.399999999999999" customHeight="1">
      <c r="A19" s="200"/>
      <c r="B19" s="8" t="s">
        <v>6</v>
      </c>
      <c r="C19" s="9"/>
      <c r="D19" s="118"/>
      <c r="E19" s="133"/>
      <c r="F19" s="155"/>
    </row>
    <row r="20" spans="1:6" ht="19.399999999999999" customHeight="1">
      <c r="A20" s="200"/>
      <c r="B20" s="13" t="s">
        <v>7</v>
      </c>
      <c r="C20" s="9" t="s">
        <v>8</v>
      </c>
      <c r="D20" s="118">
        <f>D14/60</f>
        <v>0.22666666666666668</v>
      </c>
      <c r="E20" s="133">
        <v>4000</v>
      </c>
      <c r="F20" s="155">
        <f>D20*E20</f>
        <v>906.66666666666674</v>
      </c>
    </row>
    <row r="21" spans="1:6" ht="19.399999999999999" customHeight="1">
      <c r="A21" s="174"/>
      <c r="B21" s="60" t="s">
        <v>9</v>
      </c>
      <c r="C21" s="61"/>
      <c r="D21" s="120"/>
      <c r="E21" s="279"/>
      <c r="F21" s="290">
        <f>F20</f>
        <v>906.66666666666674</v>
      </c>
    </row>
    <row r="22" spans="1:6" ht="19.399999999999999" customHeight="1">
      <c r="A22" s="202">
        <v>2.02</v>
      </c>
      <c r="B22" s="2" t="s">
        <v>97</v>
      </c>
      <c r="C22" s="3" t="s">
        <v>1</v>
      </c>
      <c r="D22" s="117">
        <v>72</v>
      </c>
      <c r="E22" s="134">
        <f>F22/D22</f>
        <v>1066.6666666666667</v>
      </c>
      <c r="F22" s="160">
        <f>F24+F28</f>
        <v>76800</v>
      </c>
    </row>
    <row r="23" spans="1:6" ht="19.399999999999999" customHeight="1">
      <c r="A23" s="200"/>
      <c r="B23" s="8" t="s">
        <v>2</v>
      </c>
      <c r="C23" s="9"/>
      <c r="D23" s="118"/>
      <c r="E23" s="133"/>
      <c r="F23" s="155"/>
    </row>
    <row r="24" spans="1:6" ht="19.399999999999999" customHeight="1">
      <c r="A24" s="200"/>
      <c r="B24" s="48" t="s">
        <v>3</v>
      </c>
      <c r="C24" s="9" t="s">
        <v>4</v>
      </c>
      <c r="D24" s="118">
        <f>D22/10</f>
        <v>7.2</v>
      </c>
      <c r="E24" s="133">
        <v>10000</v>
      </c>
      <c r="F24" s="155">
        <f>D24*E24</f>
        <v>72000</v>
      </c>
    </row>
    <row r="25" spans="1:6" ht="19.399999999999999" customHeight="1">
      <c r="A25" s="170"/>
      <c r="B25" s="60" t="s">
        <v>5</v>
      </c>
      <c r="C25" s="12"/>
      <c r="D25" s="121"/>
      <c r="E25" s="135"/>
      <c r="F25" s="162">
        <f>SUM(F24)</f>
        <v>72000</v>
      </c>
    </row>
    <row r="26" spans="1:6" ht="19.399999999999999" customHeight="1">
      <c r="A26" s="200"/>
      <c r="B26" s="48"/>
      <c r="C26" s="9"/>
      <c r="D26" s="118"/>
      <c r="E26" s="133"/>
      <c r="F26" s="155"/>
    </row>
    <row r="27" spans="1:6" ht="19.399999999999999" customHeight="1">
      <c r="A27" s="200"/>
      <c r="B27" s="8" t="s">
        <v>6</v>
      </c>
      <c r="C27" s="9"/>
      <c r="D27" s="118"/>
      <c r="E27" s="133"/>
      <c r="F27" s="155"/>
    </row>
    <row r="28" spans="1:6" ht="19.399999999999999" customHeight="1">
      <c r="A28" s="200"/>
      <c r="B28" s="13" t="s">
        <v>7</v>
      </c>
      <c r="C28" s="9" t="s">
        <v>8</v>
      </c>
      <c r="D28" s="118">
        <f>D22/60</f>
        <v>1.2</v>
      </c>
      <c r="E28" s="133">
        <v>4000</v>
      </c>
      <c r="F28" s="155">
        <f>D28*E28</f>
        <v>4800</v>
      </c>
    </row>
    <row r="29" spans="1:6" ht="19.399999999999999" customHeight="1">
      <c r="A29" s="174"/>
      <c r="B29" s="60" t="s">
        <v>9</v>
      </c>
      <c r="C29" s="61"/>
      <c r="D29" s="120"/>
      <c r="E29" s="279"/>
      <c r="F29" s="290">
        <f>F28</f>
        <v>4800</v>
      </c>
    </row>
    <row r="30" spans="1:6" ht="19.399999999999999" customHeight="1">
      <c r="A30" s="199">
        <v>2.0299999999999998</v>
      </c>
      <c r="B30" s="16" t="s">
        <v>96</v>
      </c>
      <c r="C30" s="35" t="s">
        <v>1</v>
      </c>
      <c r="D30" s="125">
        <f>(0.75*0.75)*8</f>
        <v>4.5</v>
      </c>
      <c r="E30" s="138">
        <f>SUM(F30)/D30</f>
        <v>1066.6666666666667</v>
      </c>
      <c r="F30" s="153">
        <f>F33+F37</f>
        <v>4800</v>
      </c>
    </row>
    <row r="31" spans="1:6" ht="19.399999999999999" customHeight="1">
      <c r="A31" s="200"/>
      <c r="B31" s="8" t="s">
        <v>2</v>
      </c>
      <c r="C31" s="9"/>
      <c r="D31" s="118"/>
      <c r="E31" s="133"/>
      <c r="F31" s="155"/>
    </row>
    <row r="32" spans="1:6" ht="19.399999999999999" customHeight="1">
      <c r="A32" s="200"/>
      <c r="B32" s="48" t="s">
        <v>3</v>
      </c>
      <c r="C32" s="9" t="s">
        <v>4</v>
      </c>
      <c r="D32" s="118">
        <f>D30/10</f>
        <v>0.45</v>
      </c>
      <c r="E32" s="133">
        <v>10000</v>
      </c>
      <c r="F32" s="155">
        <f>D32*E32</f>
        <v>4500</v>
      </c>
    </row>
    <row r="33" spans="1:6" ht="19.399999999999999" customHeight="1">
      <c r="A33" s="170"/>
      <c r="B33" s="60" t="s">
        <v>5</v>
      </c>
      <c r="C33" s="12"/>
      <c r="D33" s="121"/>
      <c r="E33" s="135"/>
      <c r="F33" s="162">
        <f>SUM(F32)</f>
        <v>4500</v>
      </c>
    </row>
    <row r="34" spans="1:6" ht="19.399999999999999" customHeight="1">
      <c r="A34" s="170"/>
      <c r="B34" s="60"/>
      <c r="C34" s="12"/>
      <c r="D34" s="121"/>
      <c r="E34" s="135"/>
      <c r="F34" s="162"/>
    </row>
    <row r="35" spans="1:6" ht="19.399999999999999" customHeight="1">
      <c r="A35" s="200"/>
      <c r="B35" s="8" t="s">
        <v>6</v>
      </c>
      <c r="C35" s="9"/>
      <c r="D35" s="118"/>
      <c r="E35" s="133"/>
      <c r="F35" s="155"/>
    </row>
    <row r="36" spans="1:6" ht="19.399999999999999" customHeight="1">
      <c r="A36" s="200"/>
      <c r="B36" s="13" t="s">
        <v>7</v>
      </c>
      <c r="C36" s="9" t="s">
        <v>8</v>
      </c>
      <c r="D36" s="118">
        <f>D30/60</f>
        <v>7.4999999999999997E-2</v>
      </c>
      <c r="E36" s="133">
        <v>4000</v>
      </c>
      <c r="F36" s="155">
        <f>+D36*E36</f>
        <v>300</v>
      </c>
    </row>
    <row r="37" spans="1:6" ht="19.399999999999999" customHeight="1">
      <c r="A37" s="174"/>
      <c r="B37" s="60" t="s">
        <v>9</v>
      </c>
      <c r="C37" s="61"/>
      <c r="D37" s="120"/>
      <c r="E37" s="279"/>
      <c r="F37" s="290">
        <f>SUM(F36:F36)</f>
        <v>300</v>
      </c>
    </row>
    <row r="38" spans="1:6" ht="19.399999999999999" customHeight="1">
      <c r="A38" s="174"/>
      <c r="B38" s="60"/>
      <c r="C38" s="61"/>
      <c r="D38" s="115"/>
      <c r="E38" s="279"/>
      <c r="F38" s="290"/>
    </row>
    <row r="39" spans="1:6" ht="19.399999999999999" customHeight="1">
      <c r="A39" s="163">
        <v>3</v>
      </c>
      <c r="B39" s="482" t="s">
        <v>77</v>
      </c>
      <c r="C39" s="482"/>
      <c r="D39" s="482"/>
      <c r="E39" s="482"/>
      <c r="F39" s="483"/>
    </row>
    <row r="40" spans="1:6" ht="19.399999999999999" customHeight="1">
      <c r="A40" s="199">
        <v>3.01</v>
      </c>
      <c r="B40" s="16" t="s">
        <v>71</v>
      </c>
      <c r="C40" s="3" t="s">
        <v>1</v>
      </c>
      <c r="D40" s="117">
        <f>34*0.4</f>
        <v>13.600000000000001</v>
      </c>
      <c r="E40" s="134">
        <f>SUM(F40)/D40</f>
        <v>5296.1648205128213</v>
      </c>
      <c r="F40" s="160">
        <f>F47+F51+F57</f>
        <v>72027.841558974382</v>
      </c>
    </row>
    <row r="41" spans="1:6" ht="19.399999999999999" customHeight="1">
      <c r="A41" s="203"/>
      <c r="B41" s="19"/>
      <c r="C41" s="20" t="s">
        <v>10</v>
      </c>
      <c r="D41" s="137">
        <f>D40*0.05</f>
        <v>0.68000000000000016</v>
      </c>
      <c r="E41" s="136"/>
      <c r="F41" s="165"/>
    </row>
    <row r="42" spans="1:6" ht="19.399999999999999" customHeight="1">
      <c r="A42" s="204"/>
      <c r="B42" s="97" t="s">
        <v>2</v>
      </c>
      <c r="C42" s="23"/>
      <c r="D42" s="118"/>
      <c r="E42" s="133"/>
      <c r="F42" s="292"/>
    </row>
    <row r="43" spans="1:6" ht="19.399999999999999" customHeight="1">
      <c r="A43" s="204"/>
      <c r="B43" s="98" t="s">
        <v>11</v>
      </c>
      <c r="C43" s="23" t="s">
        <v>12</v>
      </c>
      <c r="D43" s="118">
        <f>D41*(1/13)*1.57*(1440/50)</f>
        <v>2.3651446153846161</v>
      </c>
      <c r="E43" s="133">
        <v>12000</v>
      </c>
      <c r="F43" s="292">
        <f>D43*E43</f>
        <v>28381.735384615393</v>
      </c>
    </row>
    <row r="44" spans="1:6" ht="19.399999999999999" customHeight="1">
      <c r="A44" s="204"/>
      <c r="B44" s="98" t="s">
        <v>13</v>
      </c>
      <c r="C44" s="23" t="s">
        <v>10</v>
      </c>
      <c r="D44" s="118">
        <f>D41*(4/13)*1.57</f>
        <v>0.32849230769230781</v>
      </c>
      <c r="E44" s="133">
        <v>25000</v>
      </c>
      <c r="F44" s="292">
        <f>D44*E44</f>
        <v>8212.3076923076951</v>
      </c>
    </row>
    <row r="45" spans="1:6" ht="19.399999999999999" customHeight="1">
      <c r="A45" s="204"/>
      <c r="B45" s="98" t="s">
        <v>14</v>
      </c>
      <c r="C45" s="23" t="s">
        <v>10</v>
      </c>
      <c r="D45" s="118">
        <f>D41*(8/13)*1.57</f>
        <v>0.65698461538461561</v>
      </c>
      <c r="E45" s="133">
        <v>27000</v>
      </c>
      <c r="F45" s="292">
        <f>D45*E45</f>
        <v>17738.584615384621</v>
      </c>
    </row>
    <row r="46" spans="1:6" ht="19.399999999999999" customHeight="1">
      <c r="A46" s="204"/>
      <c r="B46" s="98" t="s">
        <v>15</v>
      </c>
      <c r="C46" s="23" t="s">
        <v>16</v>
      </c>
      <c r="D46" s="118">
        <f>D50*10</f>
        <v>1.1333333333333335</v>
      </c>
      <c r="E46" s="133">
        <v>1587</v>
      </c>
      <c r="F46" s="292">
        <f>D46*E46</f>
        <v>1798.6000000000004</v>
      </c>
    </row>
    <row r="47" spans="1:6" ht="19.399999999999999" customHeight="1">
      <c r="A47" s="168"/>
      <c r="B47" s="97" t="s">
        <v>18</v>
      </c>
      <c r="C47" s="28"/>
      <c r="D47" s="121"/>
      <c r="E47" s="135"/>
      <c r="F47" s="293">
        <f>SUM(F43:F46)</f>
        <v>56131.227692307708</v>
      </c>
    </row>
    <row r="48" spans="1:6" ht="19.399999999999999" customHeight="1">
      <c r="A48" s="204"/>
      <c r="B48" s="98"/>
      <c r="C48" s="23"/>
      <c r="D48" s="118"/>
      <c r="E48" s="133"/>
      <c r="F48" s="292"/>
    </row>
    <row r="49" spans="1:6" ht="19.399999999999999" customHeight="1">
      <c r="A49" s="204"/>
      <c r="B49" s="97" t="s">
        <v>19</v>
      </c>
      <c r="C49" s="23"/>
      <c r="D49" s="118"/>
      <c r="E49" s="133"/>
      <c r="F49" s="292"/>
    </row>
    <row r="50" spans="1:6" ht="19.399999999999999" customHeight="1">
      <c r="A50" s="204"/>
      <c r="B50" s="98" t="s">
        <v>20</v>
      </c>
      <c r="C50" s="23" t="s">
        <v>21</v>
      </c>
      <c r="D50" s="118">
        <f>D41/6</f>
        <v>0.11333333333333336</v>
      </c>
      <c r="E50" s="133">
        <v>50000</v>
      </c>
      <c r="F50" s="292">
        <f>D50*E50</f>
        <v>5666.6666666666679</v>
      </c>
    </row>
    <row r="51" spans="1:6" ht="19.399999999999999" customHeight="1">
      <c r="A51" s="168"/>
      <c r="B51" s="97" t="s">
        <v>23</v>
      </c>
      <c r="C51" s="28"/>
      <c r="D51" s="121"/>
      <c r="E51" s="135"/>
      <c r="F51" s="293">
        <f>SUM(F50:F50)</f>
        <v>5666.6666666666679</v>
      </c>
    </row>
    <row r="52" spans="1:6" ht="19.399999999999999" customHeight="1">
      <c r="A52" s="204"/>
      <c r="B52" s="98"/>
      <c r="C52" s="23"/>
      <c r="D52" s="118"/>
      <c r="E52" s="133"/>
      <c r="F52" s="292"/>
    </row>
    <row r="53" spans="1:6" ht="19.399999999999999" customHeight="1">
      <c r="A53" s="204"/>
      <c r="B53" s="97" t="s">
        <v>6</v>
      </c>
      <c r="C53" s="23"/>
      <c r="D53" s="118"/>
      <c r="E53" s="133"/>
      <c r="F53" s="292"/>
    </row>
    <row r="54" spans="1:6" ht="19.399999999999999" customHeight="1">
      <c r="A54" s="204"/>
      <c r="B54" s="98" t="s">
        <v>24</v>
      </c>
      <c r="C54" s="23" t="s">
        <v>21</v>
      </c>
      <c r="D54" s="118">
        <f>(D41/6)*2</f>
        <v>0.22666666666666671</v>
      </c>
      <c r="E54" s="133">
        <v>6088.08</v>
      </c>
      <c r="F54" s="292">
        <f>D54*E54</f>
        <v>1379.9648000000002</v>
      </c>
    </row>
    <row r="55" spans="1:6" ht="19.399999999999999" customHeight="1">
      <c r="A55" s="204"/>
      <c r="B55" s="98" t="s">
        <v>25</v>
      </c>
      <c r="C55" s="23" t="s">
        <v>21</v>
      </c>
      <c r="D55" s="118">
        <f>(D41/6)*18</f>
        <v>2.0400000000000005</v>
      </c>
      <c r="E55" s="133">
        <v>4000</v>
      </c>
      <c r="F55" s="292">
        <f>D55*E55</f>
        <v>8160.0000000000018</v>
      </c>
    </row>
    <row r="56" spans="1:6" ht="19.399999999999999" customHeight="1">
      <c r="A56" s="204"/>
      <c r="B56" s="98" t="s">
        <v>26</v>
      </c>
      <c r="C56" s="23" t="s">
        <v>21</v>
      </c>
      <c r="D56" s="118">
        <f>D50</f>
        <v>0.11333333333333336</v>
      </c>
      <c r="E56" s="133">
        <v>6088.08</v>
      </c>
      <c r="F56" s="292">
        <f>D56*E56</f>
        <v>689.9824000000001</v>
      </c>
    </row>
    <row r="57" spans="1:6" ht="19.399999999999999" customHeight="1">
      <c r="A57" s="168"/>
      <c r="B57" s="97" t="s">
        <v>27</v>
      </c>
      <c r="C57" s="28"/>
      <c r="D57" s="121"/>
      <c r="E57" s="135"/>
      <c r="F57" s="293">
        <f>SUM(F54:F56)</f>
        <v>10229.947200000002</v>
      </c>
    </row>
    <row r="58" spans="1:6" ht="19.399999999999999" customHeight="1">
      <c r="A58" s="199">
        <v>3.02</v>
      </c>
      <c r="B58" s="16" t="s">
        <v>98</v>
      </c>
      <c r="C58" s="3" t="s">
        <v>1</v>
      </c>
      <c r="D58" s="117">
        <f>(0.75*0.75)*8</f>
        <v>4.5</v>
      </c>
      <c r="E58" s="134">
        <f>SUM(F58)/D58</f>
        <v>5296.1648205128204</v>
      </c>
      <c r="F58" s="160">
        <f>F65+F69+F75</f>
        <v>23832.741692307693</v>
      </c>
    </row>
    <row r="59" spans="1:6" ht="19.399999999999999" customHeight="1">
      <c r="A59" s="203"/>
      <c r="B59" s="19"/>
      <c r="C59" s="20" t="s">
        <v>10</v>
      </c>
      <c r="D59" s="137">
        <f>D58*0.05</f>
        <v>0.22500000000000001</v>
      </c>
      <c r="E59" s="136"/>
      <c r="F59" s="165"/>
    </row>
    <row r="60" spans="1:6" ht="19.399999999999999" customHeight="1">
      <c r="A60" s="204"/>
      <c r="B60" s="97" t="s">
        <v>2</v>
      </c>
      <c r="C60" s="23"/>
      <c r="D60" s="118"/>
      <c r="E60" s="133"/>
      <c r="F60" s="292"/>
    </row>
    <row r="61" spans="1:6" ht="19.399999999999999" customHeight="1">
      <c r="A61" s="204"/>
      <c r="B61" s="98" t="s">
        <v>11</v>
      </c>
      <c r="C61" s="23" t="s">
        <v>12</v>
      </c>
      <c r="D61" s="118">
        <f>D59*(1/13)*1.57*(1440/50)</f>
        <v>0.78258461538461543</v>
      </c>
      <c r="E61" s="133">
        <v>12000</v>
      </c>
      <c r="F61" s="292">
        <f>D61*E61</f>
        <v>9391.0153846153844</v>
      </c>
    </row>
    <row r="62" spans="1:6" ht="19.399999999999999" customHeight="1">
      <c r="A62" s="204"/>
      <c r="B62" s="98" t="s">
        <v>13</v>
      </c>
      <c r="C62" s="23" t="s">
        <v>10</v>
      </c>
      <c r="D62" s="118">
        <f>D59*(4/13)*1.57</f>
        <v>0.1086923076923077</v>
      </c>
      <c r="E62" s="133">
        <v>25000</v>
      </c>
      <c r="F62" s="292">
        <f>D62*E62</f>
        <v>2717.3076923076924</v>
      </c>
    </row>
    <row r="63" spans="1:6" ht="19.399999999999999" customHeight="1">
      <c r="A63" s="204"/>
      <c r="B63" s="98" t="s">
        <v>14</v>
      </c>
      <c r="C63" s="23" t="s">
        <v>10</v>
      </c>
      <c r="D63" s="118">
        <f>D59*(8/13)*1.57</f>
        <v>0.2173846153846154</v>
      </c>
      <c r="E63" s="133">
        <v>27000</v>
      </c>
      <c r="F63" s="292">
        <f>D63*E63</f>
        <v>5869.3846153846162</v>
      </c>
    </row>
    <row r="64" spans="1:6" ht="19.399999999999999" customHeight="1">
      <c r="A64" s="204"/>
      <c r="B64" s="98" t="s">
        <v>15</v>
      </c>
      <c r="C64" s="23" t="s">
        <v>16</v>
      </c>
      <c r="D64" s="118">
        <f>D68*10</f>
        <v>0.375</v>
      </c>
      <c r="E64" s="133">
        <v>1587</v>
      </c>
      <c r="F64" s="292">
        <f>D64*E64</f>
        <v>595.125</v>
      </c>
    </row>
    <row r="65" spans="1:6" ht="19.399999999999999" customHeight="1">
      <c r="A65" s="168"/>
      <c r="B65" s="97" t="s">
        <v>18</v>
      </c>
      <c r="C65" s="28"/>
      <c r="D65" s="121"/>
      <c r="E65" s="135"/>
      <c r="F65" s="293">
        <f>SUM(F61:F64)</f>
        <v>18572.832692307693</v>
      </c>
    </row>
    <row r="66" spans="1:6" ht="19.399999999999999" customHeight="1">
      <c r="A66" s="204"/>
      <c r="B66" s="98"/>
      <c r="C66" s="23"/>
      <c r="D66" s="118"/>
      <c r="E66" s="133"/>
      <c r="F66" s="292"/>
    </row>
    <row r="67" spans="1:6" ht="19.399999999999999" customHeight="1">
      <c r="A67" s="204"/>
      <c r="B67" s="97" t="s">
        <v>19</v>
      </c>
      <c r="C67" s="23"/>
      <c r="D67" s="118"/>
      <c r="E67" s="133"/>
      <c r="F67" s="292"/>
    </row>
    <row r="68" spans="1:6" ht="19.399999999999999" customHeight="1">
      <c r="A68" s="204"/>
      <c r="B68" s="98" t="s">
        <v>20</v>
      </c>
      <c r="C68" s="23" t="s">
        <v>21</v>
      </c>
      <c r="D68" s="118">
        <f>D59/6</f>
        <v>3.7499999999999999E-2</v>
      </c>
      <c r="E68" s="133">
        <v>50000</v>
      </c>
      <c r="F68" s="292">
        <f>D68*E68</f>
        <v>1875</v>
      </c>
    </row>
    <row r="69" spans="1:6" ht="19.399999999999999" customHeight="1">
      <c r="A69" s="168"/>
      <c r="B69" s="97" t="s">
        <v>23</v>
      </c>
      <c r="C69" s="28"/>
      <c r="D69" s="121"/>
      <c r="E69" s="135"/>
      <c r="F69" s="293">
        <f>SUM(F68:F68)</f>
        <v>1875</v>
      </c>
    </row>
    <row r="70" spans="1:6" ht="19.399999999999999" customHeight="1">
      <c r="A70" s="204"/>
      <c r="B70" s="98"/>
      <c r="C70" s="23"/>
      <c r="D70" s="118"/>
      <c r="E70" s="133"/>
      <c r="F70" s="292"/>
    </row>
    <row r="71" spans="1:6" ht="19.399999999999999" customHeight="1">
      <c r="A71" s="204"/>
      <c r="B71" s="97" t="s">
        <v>6</v>
      </c>
      <c r="C71" s="23"/>
      <c r="D71" s="118"/>
      <c r="E71" s="133"/>
      <c r="F71" s="292"/>
    </row>
    <row r="72" spans="1:6" ht="19.399999999999999" customHeight="1">
      <c r="A72" s="204"/>
      <c r="B72" s="98" t="s">
        <v>24</v>
      </c>
      <c r="C72" s="23" t="s">
        <v>21</v>
      </c>
      <c r="D72" s="118">
        <f>(D59/6)*2</f>
        <v>7.4999999999999997E-2</v>
      </c>
      <c r="E72" s="133">
        <v>6088.08</v>
      </c>
      <c r="F72" s="292">
        <f>D72*E72</f>
        <v>456.60599999999999</v>
      </c>
    </row>
    <row r="73" spans="1:6" ht="19.399999999999999" customHeight="1">
      <c r="A73" s="204"/>
      <c r="B73" s="98" t="s">
        <v>25</v>
      </c>
      <c r="C73" s="23" t="s">
        <v>21</v>
      </c>
      <c r="D73" s="118">
        <f>(D59/6)*18</f>
        <v>0.67499999999999993</v>
      </c>
      <c r="E73" s="133">
        <v>4000</v>
      </c>
      <c r="F73" s="292">
        <f>D73*E73</f>
        <v>2699.9999999999995</v>
      </c>
    </row>
    <row r="74" spans="1:6" ht="19.399999999999999" customHeight="1">
      <c r="A74" s="204"/>
      <c r="B74" s="98" t="s">
        <v>26</v>
      </c>
      <c r="C74" s="23" t="s">
        <v>21</v>
      </c>
      <c r="D74" s="118">
        <f>D68</f>
        <v>3.7499999999999999E-2</v>
      </c>
      <c r="E74" s="133">
        <v>6088.08</v>
      </c>
      <c r="F74" s="292">
        <f>D74*E74</f>
        <v>228.303</v>
      </c>
    </row>
    <row r="75" spans="1:6" ht="19.399999999999999" customHeight="1">
      <c r="A75" s="168"/>
      <c r="B75" s="97" t="s">
        <v>27</v>
      </c>
      <c r="C75" s="28"/>
      <c r="D75" s="121"/>
      <c r="E75" s="135"/>
      <c r="F75" s="293">
        <f>SUM(F72:F74)</f>
        <v>3384.9089999999997</v>
      </c>
    </row>
    <row r="76" spans="1:6" ht="19.399999999999999" customHeight="1">
      <c r="A76" s="168"/>
      <c r="B76" s="97"/>
      <c r="C76" s="28"/>
      <c r="D76" s="121"/>
      <c r="E76" s="135"/>
      <c r="F76" s="293"/>
    </row>
    <row r="77" spans="1:6" ht="19.399999999999999" customHeight="1">
      <c r="A77" s="168">
        <v>4</v>
      </c>
      <c r="B77" s="484" t="s">
        <v>82</v>
      </c>
      <c r="C77" s="484"/>
      <c r="D77" s="484"/>
      <c r="E77" s="484"/>
      <c r="F77" s="485"/>
    </row>
    <row r="78" spans="1:6" ht="19.399999999999999" customHeight="1">
      <c r="A78" s="199">
        <v>4.01</v>
      </c>
      <c r="B78" s="99" t="s">
        <v>83</v>
      </c>
      <c r="C78" s="69" t="s">
        <v>50</v>
      </c>
      <c r="D78" s="125">
        <f>((0.75*0.2)*4)*8</f>
        <v>4.8000000000000007</v>
      </c>
      <c r="E78" s="138">
        <f>F78/D78</f>
        <v>12874.418832391713</v>
      </c>
      <c r="F78" s="294">
        <f>F83+F88</f>
        <v>61797.210395480237</v>
      </c>
    </row>
    <row r="79" spans="1:6" ht="19.399999999999999" customHeight="1">
      <c r="A79" s="204"/>
      <c r="B79" s="97" t="s">
        <v>2</v>
      </c>
      <c r="C79" s="23"/>
      <c r="D79" s="114"/>
      <c r="E79" s="133"/>
      <c r="F79" s="292"/>
    </row>
    <row r="80" spans="1:6" ht="19.399999999999999" customHeight="1">
      <c r="A80" s="204"/>
      <c r="B80" s="98" t="s">
        <v>84</v>
      </c>
      <c r="C80" s="23" t="s">
        <v>85</v>
      </c>
      <c r="D80" s="118">
        <f>D78/(2.4*1.2)/2</f>
        <v>0.83333333333333348</v>
      </c>
      <c r="E80" s="133">
        <v>32000</v>
      </c>
      <c r="F80" s="292">
        <f>D80*E80</f>
        <v>26666.666666666672</v>
      </c>
    </row>
    <row r="81" spans="1:6" ht="19.399999999999999" customHeight="1">
      <c r="A81" s="204"/>
      <c r="B81" s="98" t="s">
        <v>86</v>
      </c>
      <c r="C81" s="23" t="s">
        <v>44</v>
      </c>
      <c r="D81" s="118">
        <f>D78*1.5</f>
        <v>7.2000000000000011</v>
      </c>
      <c r="E81" s="133">
        <v>4000</v>
      </c>
      <c r="F81" s="292">
        <f>D81*E81</f>
        <v>28800.000000000004</v>
      </c>
    </row>
    <row r="82" spans="1:6" ht="19.399999999999999" customHeight="1">
      <c r="A82" s="200"/>
      <c r="B82" s="98" t="s">
        <v>87</v>
      </c>
      <c r="C82" s="23" t="s">
        <v>88</v>
      </c>
      <c r="D82" s="118">
        <f>D78*0.25</f>
        <v>1.2000000000000002</v>
      </c>
      <c r="E82" s="133">
        <f>1500/1.18</f>
        <v>1271.1864406779662</v>
      </c>
      <c r="F82" s="292">
        <f>D82*E82</f>
        <v>1525.4237288135596</v>
      </c>
    </row>
    <row r="83" spans="1:6" ht="19.399999999999999" customHeight="1">
      <c r="A83" s="200"/>
      <c r="B83" s="97" t="s">
        <v>89</v>
      </c>
      <c r="C83" s="28"/>
      <c r="D83" s="121"/>
      <c r="E83" s="135"/>
      <c r="F83" s="293">
        <f>SUM(F80:F82)</f>
        <v>56992.090395480234</v>
      </c>
    </row>
    <row r="84" spans="1:6" ht="19.399999999999999" customHeight="1">
      <c r="A84" s="200"/>
      <c r="B84" s="98"/>
      <c r="C84" s="23"/>
      <c r="D84" s="118"/>
      <c r="E84" s="133"/>
      <c r="F84" s="292"/>
    </row>
    <row r="85" spans="1:6" ht="19.399999999999999" customHeight="1">
      <c r="A85" s="201"/>
      <c r="B85" s="97" t="s">
        <v>6</v>
      </c>
      <c r="C85" s="23"/>
      <c r="D85" s="118"/>
      <c r="E85" s="133"/>
      <c r="F85" s="292"/>
    </row>
    <row r="86" spans="1:6" ht="19.399999999999999" customHeight="1">
      <c r="A86" s="201"/>
      <c r="B86" s="98" t="s">
        <v>90</v>
      </c>
      <c r="C86" s="23" t="s">
        <v>21</v>
      </c>
      <c r="D86" s="118">
        <f>D78/15</f>
        <v>0.32000000000000006</v>
      </c>
      <c r="E86" s="133">
        <v>7016</v>
      </c>
      <c r="F86" s="292">
        <f>D86*E86</f>
        <v>2245.1200000000003</v>
      </c>
    </row>
    <row r="87" spans="1:6" ht="19.399999999999999" customHeight="1">
      <c r="A87" s="201"/>
      <c r="B87" s="98" t="s">
        <v>25</v>
      </c>
      <c r="C87" s="23" t="s">
        <v>21</v>
      </c>
      <c r="D87" s="118">
        <f>D86*2</f>
        <v>0.64000000000000012</v>
      </c>
      <c r="E87" s="133">
        <v>4000</v>
      </c>
      <c r="F87" s="292">
        <f>D87*E87</f>
        <v>2560.0000000000005</v>
      </c>
    </row>
    <row r="88" spans="1:6" ht="19.399999999999999" customHeight="1">
      <c r="A88" s="204"/>
      <c r="B88" s="97" t="s">
        <v>91</v>
      </c>
      <c r="C88" s="28"/>
      <c r="D88" s="122"/>
      <c r="E88" s="135"/>
      <c r="F88" s="293">
        <f>SUM(F86:F87)</f>
        <v>4805.1200000000008</v>
      </c>
    </row>
    <row r="89" spans="1:6" ht="19.399999999999999" customHeight="1">
      <c r="A89" s="199">
        <v>4.0199999999999996</v>
      </c>
      <c r="B89" s="99" t="s">
        <v>118</v>
      </c>
      <c r="C89" s="69" t="s">
        <v>50</v>
      </c>
      <c r="D89" s="125">
        <f>((1.05*0.3)*4)*8</f>
        <v>10.08</v>
      </c>
      <c r="E89" s="138">
        <f>F89/D89</f>
        <v>12874.418832391715</v>
      </c>
      <c r="F89" s="294">
        <f>F94+F99</f>
        <v>129774.14183050848</v>
      </c>
    </row>
    <row r="90" spans="1:6" ht="19.399999999999999" customHeight="1">
      <c r="A90" s="204"/>
      <c r="B90" s="97" t="s">
        <v>2</v>
      </c>
      <c r="C90" s="23"/>
      <c r="D90" s="114"/>
      <c r="E90" s="133"/>
      <c r="F90" s="292"/>
    </row>
    <row r="91" spans="1:6" ht="19.399999999999999" customHeight="1">
      <c r="A91" s="204"/>
      <c r="B91" s="98" t="s">
        <v>84</v>
      </c>
      <c r="C91" s="23" t="s">
        <v>85</v>
      </c>
      <c r="D91" s="118">
        <f>D89/(2.4*1.2)/2</f>
        <v>1.75</v>
      </c>
      <c r="E91" s="133">
        <v>32000</v>
      </c>
      <c r="F91" s="292">
        <f>D91*E91</f>
        <v>56000</v>
      </c>
    </row>
    <row r="92" spans="1:6" ht="19.399999999999999" customHeight="1">
      <c r="A92" s="204"/>
      <c r="B92" s="98" t="s">
        <v>86</v>
      </c>
      <c r="C92" s="23" t="s">
        <v>44</v>
      </c>
      <c r="D92" s="118">
        <f>D89*1.5</f>
        <v>15.120000000000001</v>
      </c>
      <c r="E92" s="133">
        <v>4000</v>
      </c>
      <c r="F92" s="292">
        <f>D92*E92</f>
        <v>60480.000000000007</v>
      </c>
    </row>
    <row r="93" spans="1:6" ht="19.399999999999999" customHeight="1">
      <c r="A93" s="200"/>
      <c r="B93" s="98" t="s">
        <v>87</v>
      </c>
      <c r="C93" s="23" t="s">
        <v>88</v>
      </c>
      <c r="D93" s="118">
        <f>D89*0.25</f>
        <v>2.52</v>
      </c>
      <c r="E93" s="133">
        <f>1500/1.18</f>
        <v>1271.1864406779662</v>
      </c>
      <c r="F93" s="292">
        <f>D93*E93</f>
        <v>3203.3898305084749</v>
      </c>
    </row>
    <row r="94" spans="1:6" ht="19.399999999999999" customHeight="1">
      <c r="A94" s="200"/>
      <c r="B94" s="97" t="s">
        <v>89</v>
      </c>
      <c r="C94" s="28"/>
      <c r="D94" s="121"/>
      <c r="E94" s="135"/>
      <c r="F94" s="293">
        <f>SUM(F91:F93)</f>
        <v>119683.38983050847</v>
      </c>
    </row>
    <row r="95" spans="1:6" ht="19.399999999999999" customHeight="1">
      <c r="A95" s="200"/>
      <c r="B95" s="98"/>
      <c r="C95" s="23"/>
      <c r="D95" s="118"/>
      <c r="E95" s="133"/>
      <c r="F95" s="292"/>
    </row>
    <row r="96" spans="1:6" ht="19.399999999999999" customHeight="1">
      <c r="A96" s="201"/>
      <c r="B96" s="97" t="s">
        <v>6</v>
      </c>
      <c r="C96" s="23"/>
      <c r="D96" s="118"/>
      <c r="E96" s="133"/>
      <c r="F96" s="292"/>
    </row>
    <row r="97" spans="1:6" ht="19.399999999999999" customHeight="1">
      <c r="A97" s="201"/>
      <c r="B97" s="98" t="s">
        <v>90</v>
      </c>
      <c r="C97" s="23" t="s">
        <v>21</v>
      </c>
      <c r="D97" s="118">
        <f>D89/15</f>
        <v>0.67200000000000004</v>
      </c>
      <c r="E97" s="133">
        <v>7016</v>
      </c>
      <c r="F97" s="292">
        <f>D97*E97</f>
        <v>4714.7520000000004</v>
      </c>
    </row>
    <row r="98" spans="1:6" ht="19.399999999999999" customHeight="1">
      <c r="A98" s="201"/>
      <c r="B98" s="98" t="s">
        <v>25</v>
      </c>
      <c r="C98" s="23" t="s">
        <v>21</v>
      </c>
      <c r="D98" s="118">
        <f>D97*2</f>
        <v>1.3440000000000001</v>
      </c>
      <c r="E98" s="133">
        <v>4000</v>
      </c>
      <c r="F98" s="292">
        <f>D98*E98</f>
        <v>5376</v>
      </c>
    </row>
    <row r="99" spans="1:6" ht="19.399999999999999" customHeight="1">
      <c r="A99" s="204"/>
      <c r="B99" s="97" t="s">
        <v>91</v>
      </c>
      <c r="C99" s="28"/>
      <c r="D99" s="122"/>
      <c r="E99" s="135"/>
      <c r="F99" s="293">
        <f>SUM(F97:F98)</f>
        <v>10090.752</v>
      </c>
    </row>
    <row r="100" spans="1:6" ht="19.399999999999999" customHeight="1">
      <c r="A100" s="199">
        <v>4.03</v>
      </c>
      <c r="B100" s="99" t="s">
        <v>95</v>
      </c>
      <c r="C100" s="69" t="s">
        <v>36</v>
      </c>
      <c r="D100" s="125">
        <f>((3.1*0.3)*4)*8</f>
        <v>29.759999999999998</v>
      </c>
      <c r="E100" s="138">
        <f>F100/D100</f>
        <v>12874.418832391715</v>
      </c>
      <c r="F100" s="294">
        <f>F105+F110</f>
        <v>383142.70445197739</v>
      </c>
    </row>
    <row r="101" spans="1:6" ht="19.399999999999999" customHeight="1">
      <c r="A101" s="204"/>
      <c r="B101" s="97" t="s">
        <v>2</v>
      </c>
      <c r="C101" s="23"/>
      <c r="D101" s="114"/>
      <c r="E101" s="133"/>
      <c r="F101" s="292"/>
    </row>
    <row r="102" spans="1:6" ht="19.399999999999999" customHeight="1">
      <c r="A102" s="204"/>
      <c r="B102" s="98" t="s">
        <v>84</v>
      </c>
      <c r="C102" s="23" t="s">
        <v>85</v>
      </c>
      <c r="D102" s="118">
        <f>D100/(2.4*1.2)/2</f>
        <v>5.1666666666666661</v>
      </c>
      <c r="E102" s="133">
        <v>32000</v>
      </c>
      <c r="F102" s="292">
        <f>D102*E102</f>
        <v>165333.33333333331</v>
      </c>
    </row>
    <row r="103" spans="1:6" ht="19.399999999999999" customHeight="1">
      <c r="A103" s="204"/>
      <c r="B103" s="98" t="s">
        <v>86</v>
      </c>
      <c r="C103" s="23" t="s">
        <v>44</v>
      </c>
      <c r="D103" s="118">
        <f>D100*1.5</f>
        <v>44.64</v>
      </c>
      <c r="E103" s="133">
        <v>4000</v>
      </c>
      <c r="F103" s="292">
        <f>D103*E103</f>
        <v>178560</v>
      </c>
    </row>
    <row r="104" spans="1:6" ht="19.399999999999999" customHeight="1">
      <c r="A104" s="200"/>
      <c r="B104" s="98" t="s">
        <v>87</v>
      </c>
      <c r="C104" s="23" t="s">
        <v>88</v>
      </c>
      <c r="D104" s="118">
        <f>D100*0.25</f>
        <v>7.4399999999999995</v>
      </c>
      <c r="E104" s="133">
        <f>1500/1.18</f>
        <v>1271.1864406779662</v>
      </c>
      <c r="F104" s="292">
        <f>D104*E104</f>
        <v>9457.6271186440681</v>
      </c>
    </row>
    <row r="105" spans="1:6" s="64" customFormat="1" ht="19.399999999999999" customHeight="1">
      <c r="A105" s="200"/>
      <c r="B105" s="97" t="s">
        <v>89</v>
      </c>
      <c r="C105" s="28"/>
      <c r="D105" s="121"/>
      <c r="E105" s="135"/>
      <c r="F105" s="293">
        <f>SUM(F102:F104)</f>
        <v>353350.96045197739</v>
      </c>
    </row>
    <row r="106" spans="1:6" ht="19.399999999999999" customHeight="1">
      <c r="A106" s="200"/>
      <c r="B106" s="98"/>
      <c r="C106" s="23"/>
      <c r="D106" s="118"/>
      <c r="E106" s="133"/>
      <c r="F106" s="292"/>
    </row>
    <row r="107" spans="1:6" ht="19.399999999999999" customHeight="1">
      <c r="A107" s="201"/>
      <c r="B107" s="97" t="s">
        <v>6</v>
      </c>
      <c r="C107" s="23"/>
      <c r="D107" s="118"/>
      <c r="E107" s="133"/>
      <c r="F107" s="292"/>
    </row>
    <row r="108" spans="1:6" ht="19.399999999999999" customHeight="1">
      <c r="A108" s="201"/>
      <c r="B108" s="98" t="s">
        <v>90</v>
      </c>
      <c r="C108" s="23" t="s">
        <v>21</v>
      </c>
      <c r="D108" s="118">
        <f>D100/15</f>
        <v>1.9839999999999998</v>
      </c>
      <c r="E108" s="133">
        <v>7016</v>
      </c>
      <c r="F108" s="292">
        <f>D108*E108</f>
        <v>13919.743999999999</v>
      </c>
    </row>
    <row r="109" spans="1:6" s="59" customFormat="1" ht="19.399999999999999" customHeight="1">
      <c r="A109" s="201"/>
      <c r="B109" s="98" t="s">
        <v>25</v>
      </c>
      <c r="C109" s="23" t="s">
        <v>21</v>
      </c>
      <c r="D109" s="118">
        <f>D108*2</f>
        <v>3.9679999999999995</v>
      </c>
      <c r="E109" s="133">
        <v>4000</v>
      </c>
      <c r="F109" s="292">
        <f>D109*E109</f>
        <v>15871.999999999998</v>
      </c>
    </row>
    <row r="110" spans="1:6" ht="19.399999999999999" customHeight="1">
      <c r="A110" s="204"/>
      <c r="B110" s="11" t="s">
        <v>9</v>
      </c>
      <c r="C110" s="28"/>
      <c r="D110" s="122"/>
      <c r="E110" s="135"/>
      <c r="F110" s="293">
        <f>SUM(F108:F109)</f>
        <v>29791.743999999999</v>
      </c>
    </row>
    <row r="111" spans="1:6" ht="19.399999999999999" customHeight="1">
      <c r="A111" s="204"/>
      <c r="B111" s="11"/>
      <c r="C111" s="28"/>
      <c r="D111" s="122"/>
      <c r="E111" s="135"/>
      <c r="F111" s="293"/>
    </row>
    <row r="112" spans="1:6" ht="19.399999999999999" customHeight="1">
      <c r="A112" s="205">
        <v>5</v>
      </c>
      <c r="B112" s="100" t="s">
        <v>105</v>
      </c>
      <c r="C112" s="69" t="s">
        <v>88</v>
      </c>
      <c r="D112" s="125">
        <v>289.072</v>
      </c>
      <c r="E112" s="138">
        <f>F112/D112</f>
        <v>1573.0956685499063</v>
      </c>
      <c r="F112" s="294">
        <f>F117+F122</f>
        <v>454737.91109905852</v>
      </c>
    </row>
    <row r="113" spans="1:6" ht="19.399999999999999" customHeight="1">
      <c r="A113" s="204"/>
      <c r="B113" s="97" t="s">
        <v>2</v>
      </c>
      <c r="C113" s="23"/>
      <c r="D113" s="114"/>
      <c r="E113" s="133"/>
      <c r="F113" s="292"/>
    </row>
    <row r="114" spans="1:6" s="59" customFormat="1" ht="19.399999999999999" customHeight="1">
      <c r="A114" s="204"/>
      <c r="B114" s="98" t="s">
        <v>106</v>
      </c>
      <c r="C114" s="23" t="s">
        <v>88</v>
      </c>
      <c r="D114" s="118">
        <f>D112*1.1</f>
        <v>317.97920000000005</v>
      </c>
      <c r="E114" s="133">
        <f>1300/1.18</f>
        <v>1101.6949152542375</v>
      </c>
      <c r="F114" s="292">
        <f>D114*E114</f>
        <v>350316.0677966103</v>
      </c>
    </row>
    <row r="115" spans="1:6" ht="19.399999999999999" customHeight="1">
      <c r="A115" s="204"/>
      <c r="B115" s="98" t="s">
        <v>107</v>
      </c>
      <c r="C115" s="23" t="s">
        <v>88</v>
      </c>
      <c r="D115" s="118">
        <f>D112*2.5%</f>
        <v>7.2268000000000008</v>
      </c>
      <c r="E115" s="133">
        <f>1300/1.18</f>
        <v>1101.6949152542375</v>
      </c>
      <c r="F115" s="292">
        <f>D115*E115</f>
        <v>7961.7288135593244</v>
      </c>
    </row>
    <row r="116" spans="1:6" s="64" customFormat="1" ht="19.399999999999999" customHeight="1">
      <c r="A116" s="204"/>
      <c r="B116" s="98"/>
      <c r="C116" s="23"/>
      <c r="D116" s="118"/>
      <c r="E116" s="133"/>
      <c r="F116" s="292"/>
    </row>
    <row r="117" spans="1:6" ht="19.399999999999999" customHeight="1">
      <c r="A117" s="168"/>
      <c r="B117" s="97" t="s">
        <v>108</v>
      </c>
      <c r="C117" s="28"/>
      <c r="D117" s="121"/>
      <c r="E117" s="135"/>
      <c r="F117" s="293">
        <f>SUM(F114:F116)</f>
        <v>358277.79661016964</v>
      </c>
    </row>
    <row r="118" spans="1:6" ht="19.399999999999999" customHeight="1">
      <c r="A118" s="204"/>
      <c r="B118" s="98"/>
      <c r="C118" s="23"/>
      <c r="D118" s="118"/>
      <c r="E118" s="133"/>
      <c r="F118" s="292"/>
    </row>
    <row r="119" spans="1:6" ht="19.399999999999999" customHeight="1">
      <c r="A119" s="204"/>
      <c r="B119" s="97" t="s">
        <v>6</v>
      </c>
      <c r="C119" s="23"/>
      <c r="D119" s="118"/>
      <c r="E119" s="133"/>
      <c r="F119" s="292"/>
    </row>
    <row r="120" spans="1:6" s="59" customFormat="1" ht="19.399999999999999" customHeight="1">
      <c r="A120" s="204"/>
      <c r="B120" s="98" t="s">
        <v>109</v>
      </c>
      <c r="C120" s="23" t="s">
        <v>8</v>
      </c>
      <c r="D120" s="118">
        <f>D112/45</f>
        <v>6.4238222222222223</v>
      </c>
      <c r="E120" s="133">
        <v>7016</v>
      </c>
      <c r="F120" s="292">
        <f>D120*E120</f>
        <v>45069.536711111112</v>
      </c>
    </row>
    <row r="121" spans="1:6" ht="19.399999999999999" customHeight="1">
      <c r="A121" s="204"/>
      <c r="B121" s="98" t="s">
        <v>110</v>
      </c>
      <c r="C121" s="23" t="s">
        <v>8</v>
      </c>
      <c r="D121" s="118">
        <f>D120*2</f>
        <v>12.847644444444445</v>
      </c>
      <c r="E121" s="133">
        <v>4000</v>
      </c>
      <c r="F121" s="292">
        <f>D121*E121</f>
        <v>51390.577777777777</v>
      </c>
    </row>
    <row r="122" spans="1:6" ht="19.399999999999999" customHeight="1">
      <c r="A122" s="168"/>
      <c r="B122" s="97" t="s">
        <v>111</v>
      </c>
      <c r="C122" s="28"/>
      <c r="D122" s="122"/>
      <c r="E122" s="135"/>
      <c r="F122" s="293">
        <f>F120+F121</f>
        <v>96460.114488888881</v>
      </c>
    </row>
    <row r="123" spans="1:6" ht="19.399999999999999" customHeight="1">
      <c r="A123" s="168"/>
      <c r="B123" s="97"/>
      <c r="C123" s="28"/>
      <c r="D123" s="122"/>
      <c r="E123" s="135"/>
      <c r="F123" s="293"/>
    </row>
    <row r="124" spans="1:6" ht="19.399999999999999" customHeight="1">
      <c r="A124" s="170">
        <v>6</v>
      </c>
      <c r="B124" s="486" t="s">
        <v>101</v>
      </c>
      <c r="C124" s="486"/>
      <c r="D124" s="486"/>
      <c r="E124" s="486"/>
      <c r="F124" s="487"/>
    </row>
    <row r="125" spans="1:6" ht="19.399999999999999" customHeight="1">
      <c r="A125" s="199">
        <v>6.01</v>
      </c>
      <c r="B125" s="99" t="s">
        <v>102</v>
      </c>
      <c r="C125" s="69" t="s">
        <v>10</v>
      </c>
      <c r="D125" s="125">
        <f>(0.7*0.7*0.15)*8</f>
        <v>0.58799999999999986</v>
      </c>
      <c r="E125" s="138">
        <f>F125/D125</f>
        <v>118514.68000000001</v>
      </c>
      <c r="F125" s="294">
        <f>F128+F135+F132</f>
        <v>69686.631839999987</v>
      </c>
    </row>
    <row r="126" spans="1:6" ht="19.399999999999999" customHeight="1">
      <c r="A126" s="206"/>
      <c r="B126" s="101" t="s">
        <v>2</v>
      </c>
      <c r="C126" s="56"/>
      <c r="D126" s="123"/>
      <c r="E126" s="136"/>
      <c r="F126" s="295"/>
    </row>
    <row r="127" spans="1:6" ht="19.399999999999999" customHeight="1">
      <c r="A127" s="206"/>
      <c r="B127" s="102" t="s">
        <v>99</v>
      </c>
      <c r="C127" s="56" t="s">
        <v>28</v>
      </c>
      <c r="D127" s="137">
        <f>D125*1.1</f>
        <v>0.64679999999999993</v>
      </c>
      <c r="E127" s="136">
        <v>100000</v>
      </c>
      <c r="F127" s="295">
        <f>D127*E127</f>
        <v>64679.999999999993</v>
      </c>
    </row>
    <row r="128" spans="1:6" ht="19.399999999999999" customHeight="1">
      <c r="A128" s="207"/>
      <c r="B128" s="101" t="s">
        <v>100</v>
      </c>
      <c r="C128" s="57"/>
      <c r="D128" s="124"/>
      <c r="E128" s="262"/>
      <c r="F128" s="296">
        <f>F127</f>
        <v>64679.999999999993</v>
      </c>
    </row>
    <row r="129" spans="1:6" s="64" customFormat="1" ht="19.399999999999999" customHeight="1">
      <c r="A129" s="207"/>
      <c r="B129" s="101"/>
      <c r="C129" s="57"/>
      <c r="D129" s="124"/>
      <c r="E129" s="262"/>
      <c r="F129" s="296"/>
    </row>
    <row r="130" spans="1:6" ht="19.399999999999999" customHeight="1">
      <c r="A130" s="204"/>
      <c r="B130" s="97" t="s">
        <v>19</v>
      </c>
      <c r="C130" s="23"/>
      <c r="D130" s="118"/>
      <c r="E130" s="133"/>
      <c r="F130" s="292"/>
    </row>
    <row r="131" spans="1:6" ht="19.399999999999999" customHeight="1">
      <c r="A131" s="204"/>
      <c r="B131" s="98" t="s">
        <v>22</v>
      </c>
      <c r="C131" s="23" t="s">
        <v>21</v>
      </c>
      <c r="D131" s="118">
        <f>D125/6</f>
        <v>9.7999999999999976E-2</v>
      </c>
      <c r="E131" s="133">
        <v>15000</v>
      </c>
      <c r="F131" s="292">
        <f>D131*E131</f>
        <v>1469.9999999999995</v>
      </c>
    </row>
    <row r="132" spans="1:6" ht="19.399999999999999" customHeight="1">
      <c r="A132" s="168"/>
      <c r="B132" s="97" t="s">
        <v>112</v>
      </c>
      <c r="C132" s="28"/>
      <c r="D132" s="121"/>
      <c r="E132" s="135"/>
      <c r="F132" s="293">
        <f>SUM(F131:F131)</f>
        <v>1469.9999999999995</v>
      </c>
    </row>
    <row r="133" spans="1:6" ht="19.399999999999999" customHeight="1">
      <c r="A133" s="168"/>
      <c r="B133" s="97"/>
      <c r="C133" s="28"/>
      <c r="D133" s="121"/>
      <c r="E133" s="135"/>
      <c r="F133" s="293"/>
    </row>
    <row r="134" spans="1:6" ht="19.399999999999999" customHeight="1">
      <c r="A134" s="206"/>
      <c r="B134" s="102" t="s">
        <v>26</v>
      </c>
      <c r="C134" s="56" t="s">
        <v>21</v>
      </c>
      <c r="D134" s="137">
        <f>D131</f>
        <v>9.7999999999999976E-2</v>
      </c>
      <c r="E134" s="136">
        <v>6088.08</v>
      </c>
      <c r="F134" s="295">
        <f>D134*E134</f>
        <v>596.6318399999999</v>
      </c>
    </row>
    <row r="135" spans="1:6" ht="19.399999999999999" customHeight="1">
      <c r="A135" s="207"/>
      <c r="B135" s="101" t="s">
        <v>113</v>
      </c>
      <c r="C135" s="57"/>
      <c r="D135" s="124"/>
      <c r="E135" s="262"/>
      <c r="F135" s="296">
        <f>SUM(F131:F134)</f>
        <v>3536.6318399999991</v>
      </c>
    </row>
    <row r="136" spans="1:6" ht="19.399999999999999" customHeight="1">
      <c r="A136" s="199">
        <v>6.02</v>
      </c>
      <c r="B136" s="99" t="s">
        <v>103</v>
      </c>
      <c r="C136" s="69" t="s">
        <v>10</v>
      </c>
      <c r="D136" s="125">
        <f>(1*0.25*0.25)*8</f>
        <v>0.5</v>
      </c>
      <c r="E136" s="138">
        <f>F136/D136</f>
        <v>111668.87728000002</v>
      </c>
      <c r="F136" s="294">
        <f>F139+F146+F143</f>
        <v>55834.438640000008</v>
      </c>
    </row>
    <row r="137" spans="1:6" ht="19.399999999999999" customHeight="1">
      <c r="A137" s="206"/>
      <c r="B137" s="101" t="s">
        <v>2</v>
      </c>
      <c r="C137" s="56"/>
      <c r="D137" s="123"/>
      <c r="E137" s="136"/>
      <c r="F137" s="295"/>
    </row>
    <row r="138" spans="1:6" s="59" customFormat="1" ht="19.399999999999999" customHeight="1">
      <c r="A138" s="206"/>
      <c r="B138" s="102" t="s">
        <v>99</v>
      </c>
      <c r="C138" s="56" t="s">
        <v>28</v>
      </c>
      <c r="D138" s="137">
        <f>D136*1.1</f>
        <v>0.55000000000000004</v>
      </c>
      <c r="E138" s="136">
        <v>100000</v>
      </c>
      <c r="F138" s="295">
        <f>D138*E138</f>
        <v>55000.000000000007</v>
      </c>
    </row>
    <row r="139" spans="1:6" ht="19.399999999999999" customHeight="1">
      <c r="A139" s="207"/>
      <c r="B139" s="101" t="s">
        <v>100</v>
      </c>
      <c r="C139" s="57"/>
      <c r="D139" s="124"/>
      <c r="E139" s="262"/>
      <c r="F139" s="296">
        <f>F138</f>
        <v>55000.000000000007</v>
      </c>
    </row>
    <row r="140" spans="1:6" ht="19.399999999999999" customHeight="1">
      <c r="A140" s="207"/>
      <c r="B140" s="101"/>
      <c r="C140" s="57"/>
      <c r="D140" s="124"/>
      <c r="E140" s="262"/>
      <c r="F140" s="296"/>
    </row>
    <row r="141" spans="1:6" ht="19.399999999999999" customHeight="1">
      <c r="A141" s="204"/>
      <c r="B141" s="97" t="s">
        <v>19</v>
      </c>
      <c r="C141" s="23"/>
      <c r="D141" s="118"/>
      <c r="E141" s="133"/>
      <c r="F141" s="292"/>
    </row>
    <row r="142" spans="1:6" ht="19.399999999999999" customHeight="1">
      <c r="A142" s="204"/>
      <c r="B142" s="98" t="s">
        <v>22</v>
      </c>
      <c r="C142" s="23" t="s">
        <v>21</v>
      </c>
      <c r="D142" s="251">
        <f>D134/6</f>
        <v>1.6333333333333328E-2</v>
      </c>
      <c r="E142" s="133">
        <v>15000</v>
      </c>
      <c r="F142" s="292">
        <f>D142*E142</f>
        <v>244.99999999999991</v>
      </c>
    </row>
    <row r="143" spans="1:6" s="59" customFormat="1" ht="19.399999999999999" customHeight="1">
      <c r="A143" s="168"/>
      <c r="B143" s="97" t="s">
        <v>112</v>
      </c>
      <c r="C143" s="28"/>
      <c r="D143" s="121"/>
      <c r="E143" s="135"/>
      <c r="F143" s="293">
        <f>SUM(F142:F142)</f>
        <v>244.99999999999991</v>
      </c>
    </row>
    <row r="144" spans="1:6" ht="19.399999999999999" customHeight="1">
      <c r="A144" s="168"/>
      <c r="B144" s="97"/>
      <c r="C144" s="28"/>
      <c r="D144" s="121"/>
      <c r="E144" s="135"/>
      <c r="F144" s="293"/>
    </row>
    <row r="145" spans="1:6" ht="19.399999999999999" customHeight="1">
      <c r="A145" s="206"/>
      <c r="B145" s="102" t="s">
        <v>26</v>
      </c>
      <c r="C145" s="56" t="s">
        <v>21</v>
      </c>
      <c r="D145" s="252">
        <f>D142</f>
        <v>1.6333333333333328E-2</v>
      </c>
      <c r="E145" s="136">
        <v>6088.08</v>
      </c>
      <c r="F145" s="295">
        <f>D145*E145</f>
        <v>99.438639999999964</v>
      </c>
    </row>
    <row r="146" spans="1:6" ht="19.399999999999999" customHeight="1">
      <c r="A146" s="207"/>
      <c r="B146" s="101" t="s">
        <v>113</v>
      </c>
      <c r="C146" s="57"/>
      <c r="D146" s="124"/>
      <c r="E146" s="262"/>
      <c r="F146" s="296">
        <f>SUM(F142:F145)</f>
        <v>589.43863999999985</v>
      </c>
    </row>
    <row r="147" spans="1:6" ht="19.399999999999999" customHeight="1">
      <c r="A147" s="199">
        <v>6.03</v>
      </c>
      <c r="B147" s="99" t="s">
        <v>104</v>
      </c>
      <c r="C147" s="69" t="s">
        <v>10</v>
      </c>
      <c r="D147" s="125">
        <f>(3*0.25*0.25)*8</f>
        <v>1.5</v>
      </c>
      <c r="E147" s="138">
        <f>F147/D147</f>
        <v>118514.68</v>
      </c>
      <c r="F147" s="294">
        <f>F150+F157+F154</f>
        <v>177772.02</v>
      </c>
    </row>
    <row r="148" spans="1:6" s="64" customFormat="1" ht="19.399999999999999" customHeight="1">
      <c r="A148" s="206"/>
      <c r="B148" s="101" t="s">
        <v>2</v>
      </c>
      <c r="C148" s="56"/>
      <c r="D148" s="123"/>
      <c r="E148" s="136"/>
      <c r="F148" s="295"/>
    </row>
    <row r="149" spans="1:6" ht="19.399999999999999" customHeight="1">
      <c r="A149" s="206"/>
      <c r="B149" s="102" t="s">
        <v>99</v>
      </c>
      <c r="C149" s="56" t="s">
        <v>28</v>
      </c>
      <c r="D149" s="137">
        <f>D147*1.1</f>
        <v>1.6500000000000001</v>
      </c>
      <c r="E149" s="136">
        <v>100000</v>
      </c>
      <c r="F149" s="295">
        <f>D149*E149</f>
        <v>165000</v>
      </c>
    </row>
    <row r="150" spans="1:6" ht="19.399999999999999" customHeight="1">
      <c r="A150" s="207"/>
      <c r="B150" s="101" t="s">
        <v>100</v>
      </c>
      <c r="C150" s="57"/>
      <c r="D150" s="124"/>
      <c r="E150" s="262"/>
      <c r="F150" s="296">
        <f>F149</f>
        <v>165000</v>
      </c>
    </row>
    <row r="151" spans="1:6" ht="19.399999999999999" customHeight="1">
      <c r="A151" s="207"/>
      <c r="B151" s="101"/>
      <c r="C151" s="57"/>
      <c r="D151" s="124"/>
      <c r="E151" s="262"/>
      <c r="F151" s="296"/>
    </row>
    <row r="152" spans="1:6" ht="19.399999999999999" customHeight="1">
      <c r="A152" s="204"/>
      <c r="B152" s="97" t="s">
        <v>19</v>
      </c>
      <c r="C152" s="23"/>
      <c r="D152" s="118"/>
      <c r="E152" s="133"/>
      <c r="F152" s="292"/>
    </row>
    <row r="153" spans="1:6" s="59" customFormat="1" ht="19.399999999999999" customHeight="1">
      <c r="A153" s="204"/>
      <c r="B153" s="98" t="s">
        <v>22</v>
      </c>
      <c r="C153" s="23" t="s">
        <v>21</v>
      </c>
      <c r="D153" s="118">
        <f>D147/6</f>
        <v>0.25</v>
      </c>
      <c r="E153" s="133">
        <v>15000</v>
      </c>
      <c r="F153" s="292">
        <f>D153*E153</f>
        <v>3750</v>
      </c>
    </row>
    <row r="154" spans="1:6" ht="19.399999999999999" customHeight="1">
      <c r="A154" s="168"/>
      <c r="B154" s="97" t="s">
        <v>112</v>
      </c>
      <c r="C154" s="28"/>
      <c r="D154" s="121"/>
      <c r="E154" s="135"/>
      <c r="F154" s="293">
        <f>SUM(F153:F153)</f>
        <v>3750</v>
      </c>
    </row>
    <row r="155" spans="1:6" ht="19.399999999999999" customHeight="1">
      <c r="A155" s="168"/>
      <c r="B155" s="97"/>
      <c r="C155" s="28"/>
      <c r="D155" s="121"/>
      <c r="E155" s="135"/>
      <c r="F155" s="293"/>
    </row>
    <row r="156" spans="1:6" ht="19.399999999999999" customHeight="1">
      <c r="A156" s="206"/>
      <c r="B156" s="102" t="s">
        <v>26</v>
      </c>
      <c r="C156" s="56" t="s">
        <v>21</v>
      </c>
      <c r="D156" s="137">
        <f>D153</f>
        <v>0.25</v>
      </c>
      <c r="E156" s="136">
        <v>6088.08</v>
      </c>
      <c r="F156" s="295">
        <f>D156*E156</f>
        <v>1522.02</v>
      </c>
    </row>
    <row r="157" spans="1:6" ht="19.399999999999999" customHeight="1">
      <c r="A157" s="207"/>
      <c r="B157" s="101" t="s">
        <v>113</v>
      </c>
      <c r="C157" s="57"/>
      <c r="D157" s="124"/>
      <c r="E157" s="262"/>
      <c r="F157" s="296">
        <f>SUM(F153:F156)</f>
        <v>9022.02</v>
      </c>
    </row>
    <row r="158" spans="1:6" s="59" customFormat="1" ht="19.399999999999999" customHeight="1">
      <c r="A158" s="207"/>
      <c r="B158" s="101"/>
      <c r="C158" s="57"/>
      <c r="D158" s="124"/>
      <c r="E158" s="262"/>
      <c r="F158" s="296"/>
    </row>
    <row r="159" spans="1:6" s="63" customFormat="1" ht="19.399999999999999" customHeight="1">
      <c r="A159" s="170">
        <v>7</v>
      </c>
      <c r="B159" s="482" t="s">
        <v>73</v>
      </c>
      <c r="C159" s="482"/>
      <c r="D159" s="482"/>
      <c r="E159" s="482"/>
      <c r="F159" s="483"/>
    </row>
    <row r="160" spans="1:6" ht="19.399999999999999" customHeight="1">
      <c r="A160" s="202">
        <v>7.01</v>
      </c>
      <c r="B160" s="16" t="s">
        <v>71</v>
      </c>
      <c r="C160" s="3" t="s">
        <v>28</v>
      </c>
      <c r="D160" s="117">
        <f>0.4*0.8*34</f>
        <v>10.880000000000003</v>
      </c>
      <c r="E160" s="3">
        <f>SUM(F160)/D160</f>
        <v>66244.523921568631</v>
      </c>
      <c r="F160" s="160">
        <f>F165+F170</f>
        <v>720740.4202666668</v>
      </c>
    </row>
    <row r="161" spans="1:6" ht="19.399999999999999" customHeight="1">
      <c r="A161" s="201"/>
      <c r="B161" s="8" t="s">
        <v>29</v>
      </c>
      <c r="C161" s="9"/>
      <c r="D161" s="213"/>
      <c r="E161" s="9"/>
      <c r="F161" s="155"/>
    </row>
    <row r="162" spans="1:6" ht="19.399999999999999" customHeight="1">
      <c r="A162" s="201"/>
      <c r="B162" s="13" t="s">
        <v>30</v>
      </c>
      <c r="C162" s="9" t="s">
        <v>28</v>
      </c>
      <c r="D162" s="133">
        <f>D160*(10/17)*1.57</f>
        <v>10.048000000000004</v>
      </c>
      <c r="E162" s="9">
        <v>12000</v>
      </c>
      <c r="F162" s="155">
        <f>+D162*E162</f>
        <v>120576.00000000004</v>
      </c>
    </row>
    <row r="163" spans="1:6" ht="19.399999999999999" customHeight="1">
      <c r="A163" s="201"/>
      <c r="B163" s="13" t="s">
        <v>11</v>
      </c>
      <c r="C163" s="9" t="s">
        <v>31</v>
      </c>
      <c r="D163" s="118">
        <f>D160*(1/17)*1.57*(1440/50)</f>
        <v>28.938240000000004</v>
      </c>
      <c r="E163" s="9">
        <v>12000</v>
      </c>
      <c r="F163" s="155">
        <f>E163*D163</f>
        <v>347258.88000000006</v>
      </c>
    </row>
    <row r="164" spans="1:6" ht="19.399999999999999" customHeight="1">
      <c r="A164" s="201"/>
      <c r="B164" s="13" t="s">
        <v>32</v>
      </c>
      <c r="C164" s="9" t="s">
        <v>28</v>
      </c>
      <c r="D164" s="118">
        <f>D160*(6/17)*1.57</f>
        <v>6.0288000000000022</v>
      </c>
      <c r="E164" s="9">
        <v>25000</v>
      </c>
      <c r="F164" s="155">
        <f>E164*D164</f>
        <v>150720.00000000006</v>
      </c>
    </row>
    <row r="165" spans="1:6" ht="19.399999999999999" customHeight="1">
      <c r="A165" s="201"/>
      <c r="B165" s="8" t="s">
        <v>5</v>
      </c>
      <c r="C165" s="9"/>
      <c r="D165" s="133"/>
      <c r="E165" s="9"/>
      <c r="F165" s="162">
        <f>F162+F163+F164</f>
        <v>618554.88000000012</v>
      </c>
    </row>
    <row r="166" spans="1:6" ht="19.399999999999999" customHeight="1">
      <c r="A166" s="201"/>
      <c r="B166" s="13"/>
      <c r="C166" s="9"/>
      <c r="D166" s="133"/>
      <c r="E166" s="9"/>
      <c r="F166" s="155"/>
    </row>
    <row r="167" spans="1:6" ht="19.399999999999999" customHeight="1">
      <c r="A167" s="200"/>
      <c r="B167" s="8" t="s">
        <v>33</v>
      </c>
      <c r="C167" s="9"/>
      <c r="D167" s="133"/>
      <c r="E167" s="9"/>
      <c r="F167" s="155"/>
    </row>
    <row r="168" spans="1:6" ht="19.399999999999999" customHeight="1">
      <c r="A168" s="200"/>
      <c r="B168" s="13" t="s">
        <v>34</v>
      </c>
      <c r="C168" s="9" t="s">
        <v>21</v>
      </c>
      <c r="D168" s="133">
        <f>D160/1.5</f>
        <v>7.2533333333333347</v>
      </c>
      <c r="E168" s="9">
        <v>6088.08</v>
      </c>
      <c r="F168" s="155">
        <f>+D168*E168</f>
        <v>44158.873600000006</v>
      </c>
    </row>
    <row r="169" spans="1:6" ht="19.399999999999999" customHeight="1">
      <c r="A169" s="200"/>
      <c r="B169" s="13" t="s">
        <v>7</v>
      </c>
      <c r="C169" s="9" t="s">
        <v>21</v>
      </c>
      <c r="D169" s="133">
        <f>+D168*2</f>
        <v>14.506666666666669</v>
      </c>
      <c r="E169" s="9">
        <v>4000</v>
      </c>
      <c r="F169" s="155">
        <f>+D169*E169</f>
        <v>58026.666666666679</v>
      </c>
    </row>
    <row r="170" spans="1:6" ht="19.399999999999999" customHeight="1">
      <c r="A170" s="168"/>
      <c r="B170" s="97" t="s">
        <v>9</v>
      </c>
      <c r="C170" s="28"/>
      <c r="D170" s="121"/>
      <c r="E170" s="62"/>
      <c r="F170" s="293">
        <f>SUM(F168:F169)</f>
        <v>102185.54026666668</v>
      </c>
    </row>
    <row r="171" spans="1:6" ht="19.399999999999999" customHeight="1">
      <c r="A171" s="199">
        <v>8.01</v>
      </c>
      <c r="B171" s="16" t="s">
        <v>35</v>
      </c>
      <c r="C171" s="35" t="s">
        <v>36</v>
      </c>
      <c r="D171" s="138">
        <f>34*0.25</f>
        <v>8.5</v>
      </c>
      <c r="E171" s="35">
        <f>SUM(F171)/D171</f>
        <v>1882.5152542372882</v>
      </c>
      <c r="F171" s="153">
        <f>F174+F179</f>
        <v>16001.37966101695</v>
      </c>
    </row>
    <row r="172" spans="1:6" ht="19.399999999999999" customHeight="1">
      <c r="A172" s="201"/>
      <c r="B172" s="8" t="s">
        <v>29</v>
      </c>
      <c r="C172" s="9"/>
      <c r="D172" s="133"/>
      <c r="E172" s="9"/>
      <c r="F172" s="155"/>
    </row>
    <row r="173" spans="1:6" ht="19.399999999999999" customHeight="1">
      <c r="A173" s="200"/>
      <c r="B173" s="13" t="s">
        <v>37</v>
      </c>
      <c r="C173" s="9" t="s">
        <v>38</v>
      </c>
      <c r="D173" s="133">
        <f>D171</f>
        <v>8.5</v>
      </c>
      <c r="E173" s="9">
        <f>2000/1.18</f>
        <v>1694.9152542372883</v>
      </c>
      <c r="F173" s="155">
        <f>+D173*E173</f>
        <v>14406.77966101695</v>
      </c>
    </row>
    <row r="174" spans="1:6" ht="19.399999999999999" customHeight="1">
      <c r="A174" s="170"/>
      <c r="B174" s="8" t="s">
        <v>5</v>
      </c>
      <c r="C174" s="12"/>
      <c r="D174" s="135"/>
      <c r="E174" s="12"/>
      <c r="F174" s="162">
        <f>F173</f>
        <v>14406.77966101695</v>
      </c>
    </row>
    <row r="175" spans="1:6" ht="19.399999999999999" customHeight="1">
      <c r="A175" s="200"/>
      <c r="B175" s="13"/>
      <c r="C175" s="9"/>
      <c r="D175" s="133"/>
      <c r="E175" s="9"/>
      <c r="F175" s="155"/>
    </row>
    <row r="176" spans="1:6" ht="19.399999999999999" customHeight="1">
      <c r="A176" s="235"/>
      <c r="B176" s="8" t="s">
        <v>33</v>
      </c>
      <c r="C176" s="9"/>
      <c r="D176" s="133"/>
      <c r="E176" s="9"/>
      <c r="F176" s="155"/>
    </row>
    <row r="177" spans="1:6" ht="19.399999999999999" customHeight="1">
      <c r="A177" s="200"/>
      <c r="B177" s="13" t="s">
        <v>34</v>
      </c>
      <c r="C177" s="9" t="s">
        <v>21</v>
      </c>
      <c r="D177" s="118">
        <f>D171/100</f>
        <v>8.5000000000000006E-2</v>
      </c>
      <c r="E177" s="9">
        <v>10760</v>
      </c>
      <c r="F177" s="155">
        <f>+D177*E177</f>
        <v>914.6</v>
      </c>
    </row>
    <row r="178" spans="1:6" ht="19.399999999999999" customHeight="1">
      <c r="A178" s="200"/>
      <c r="B178" s="13" t="s">
        <v>7</v>
      </c>
      <c r="C178" s="9" t="s">
        <v>21</v>
      </c>
      <c r="D178" s="133">
        <f>+D177*2</f>
        <v>0.17</v>
      </c>
      <c r="E178" s="9">
        <v>4000</v>
      </c>
      <c r="F178" s="155">
        <f>+D178*E178</f>
        <v>680</v>
      </c>
    </row>
    <row r="179" spans="1:6" ht="19.399999999999999" customHeight="1">
      <c r="A179" s="170"/>
      <c r="B179" s="8" t="s">
        <v>39</v>
      </c>
      <c r="C179" s="12"/>
      <c r="D179" s="135"/>
      <c r="E179" s="12"/>
      <c r="F179" s="162">
        <f>SUM(F177:F178)</f>
        <v>1594.6</v>
      </c>
    </row>
    <row r="180" spans="1:6" ht="19.399999999999999" customHeight="1">
      <c r="A180" s="170"/>
      <c r="B180" s="8"/>
      <c r="C180" s="12"/>
      <c r="D180" s="135"/>
      <c r="E180" s="12"/>
      <c r="F180" s="162"/>
    </row>
    <row r="181" spans="1:6" s="90" customFormat="1" ht="19.399999999999999" customHeight="1">
      <c r="A181" s="168">
        <v>9</v>
      </c>
      <c r="B181" s="484" t="s">
        <v>72</v>
      </c>
      <c r="C181" s="484"/>
      <c r="D181" s="484"/>
      <c r="E181" s="484"/>
      <c r="F181" s="485"/>
    </row>
    <row r="182" spans="1:6" ht="19.399999999999999" customHeight="1">
      <c r="A182" s="199">
        <v>9.01</v>
      </c>
      <c r="B182" s="16" t="s">
        <v>40</v>
      </c>
      <c r="C182" s="3" t="s">
        <v>1</v>
      </c>
      <c r="D182" s="117">
        <f>(34*3)-(3.78+1.5)</f>
        <v>96.72</v>
      </c>
      <c r="E182" s="3">
        <f>SUM(F182)/D182</f>
        <v>15002.706022253742</v>
      </c>
      <c r="F182" s="160">
        <f>F188+F193</f>
        <v>1451061.726472382</v>
      </c>
    </row>
    <row r="183" spans="1:6" ht="19.399999999999999" customHeight="1">
      <c r="A183" s="203"/>
      <c r="B183" s="103"/>
      <c r="C183" s="20" t="s">
        <v>28</v>
      </c>
      <c r="D183" s="252">
        <f>D182*0.2</f>
        <v>19.344000000000001</v>
      </c>
      <c r="E183" s="5"/>
      <c r="F183" s="165"/>
    </row>
    <row r="184" spans="1:6" ht="19.399999999999999" customHeight="1">
      <c r="A184" s="200"/>
      <c r="B184" s="8" t="s">
        <v>2</v>
      </c>
      <c r="C184" s="9"/>
      <c r="D184" s="133"/>
      <c r="E184" s="9"/>
      <c r="F184" s="155"/>
    </row>
    <row r="185" spans="1:6" ht="19.399999999999999" customHeight="1">
      <c r="A185" s="200"/>
      <c r="B185" s="48" t="s">
        <v>41</v>
      </c>
      <c r="C185" s="9" t="s">
        <v>31</v>
      </c>
      <c r="D185" s="118">
        <f>D183*0.2439*(1/7)*1.54*(1440/50)</f>
        <v>29.893258137599997</v>
      </c>
      <c r="E185" s="9">
        <v>12000</v>
      </c>
      <c r="F185" s="155">
        <f>D185*E185</f>
        <v>358719.09765119996</v>
      </c>
    </row>
    <row r="186" spans="1:6" ht="19.399999999999999" customHeight="1">
      <c r="A186" s="200"/>
      <c r="B186" s="48" t="s">
        <v>42</v>
      </c>
      <c r="C186" s="9" t="s">
        <v>28</v>
      </c>
      <c r="D186" s="118">
        <f>D183*0.2439*(6/7)*1.54</f>
        <v>6.2277621119999997</v>
      </c>
      <c r="E186" s="9">
        <v>25000</v>
      </c>
      <c r="F186" s="155">
        <f>D186*E186</f>
        <v>155694.0528</v>
      </c>
    </row>
    <row r="187" spans="1:6" ht="19.399999999999999" customHeight="1">
      <c r="A187" s="200"/>
      <c r="B187" s="48" t="s">
        <v>43</v>
      </c>
      <c r="C187" s="9" t="s">
        <v>44</v>
      </c>
      <c r="D187" s="118">
        <f>D183*1.15/(0.235*0.1125*0.075)</f>
        <v>11219.215130023642</v>
      </c>
      <c r="E187" s="9">
        <v>50</v>
      </c>
      <c r="F187" s="155">
        <f>D187*E187</f>
        <v>560960.7565011821</v>
      </c>
    </row>
    <row r="188" spans="1:6" ht="19.399999999999999" customHeight="1">
      <c r="A188" s="170"/>
      <c r="B188" s="60" t="s">
        <v>5</v>
      </c>
      <c r="C188" s="12"/>
      <c r="D188" s="121"/>
      <c r="E188" s="12"/>
      <c r="F188" s="162">
        <f>SUM(F185:F187)</f>
        <v>1075373.9069523821</v>
      </c>
    </row>
    <row r="189" spans="1:6" ht="19.399999999999999" customHeight="1">
      <c r="A189" s="200"/>
      <c r="B189" s="48"/>
      <c r="C189" s="9"/>
      <c r="D189" s="118"/>
      <c r="E189" s="9"/>
      <c r="F189" s="155"/>
    </row>
    <row r="190" spans="1:6" ht="19.399999999999999" customHeight="1">
      <c r="A190" s="200"/>
      <c r="B190" s="8" t="s">
        <v>6</v>
      </c>
      <c r="C190" s="9"/>
      <c r="D190" s="133"/>
      <c r="E190" s="9"/>
      <c r="F190" s="155"/>
    </row>
    <row r="191" spans="1:6" ht="19.399999999999999" customHeight="1">
      <c r="A191" s="200"/>
      <c r="B191" s="13" t="s">
        <v>34</v>
      </c>
      <c r="C191" s="9" t="s">
        <v>8</v>
      </c>
      <c r="D191" s="133">
        <f>D183/1</f>
        <v>19.344000000000001</v>
      </c>
      <c r="E191" s="9">
        <v>6088.08</v>
      </c>
      <c r="F191" s="155">
        <f>D191*E191</f>
        <v>117767.81952</v>
      </c>
    </row>
    <row r="192" spans="1:6" ht="19.399999999999999" customHeight="1">
      <c r="A192" s="200"/>
      <c r="B192" s="13" t="s">
        <v>7</v>
      </c>
      <c r="C192" s="9" t="s">
        <v>8</v>
      </c>
      <c r="D192" s="118">
        <f>(D183/1.2)*4</f>
        <v>64.48</v>
      </c>
      <c r="E192" s="9">
        <v>4000</v>
      </c>
      <c r="F192" s="155">
        <f>D192*E192</f>
        <v>257920.00000000003</v>
      </c>
    </row>
    <row r="193" spans="1:6" ht="19.399999999999999" customHeight="1">
      <c r="A193" s="174"/>
      <c r="B193" s="60" t="s">
        <v>9</v>
      </c>
      <c r="C193" s="61"/>
      <c r="D193" s="14"/>
      <c r="E193" s="349"/>
      <c r="F193" s="290">
        <f>SUM(F191:F192)</f>
        <v>375687.81952000002</v>
      </c>
    </row>
    <row r="194" spans="1:6" ht="19.399999999999999" customHeight="1">
      <c r="A194" s="174"/>
      <c r="B194" s="60"/>
      <c r="C194" s="61"/>
      <c r="D194" s="14"/>
      <c r="E194" s="349"/>
      <c r="F194" s="290"/>
    </row>
    <row r="195" spans="1:6" s="90" customFormat="1" ht="19.399999999999999" customHeight="1">
      <c r="A195" s="174">
        <v>10</v>
      </c>
      <c r="B195" s="480" t="s">
        <v>79</v>
      </c>
      <c r="C195" s="480"/>
      <c r="D195" s="480"/>
      <c r="E195" s="480"/>
      <c r="F195" s="481"/>
    </row>
    <row r="196" spans="1:6" ht="18">
      <c r="A196" s="199">
        <v>10.01</v>
      </c>
      <c r="B196" s="2" t="s">
        <v>74</v>
      </c>
      <c r="C196" s="15" t="s">
        <v>45</v>
      </c>
      <c r="D196" s="175">
        <f>9.5*0.25*0.2</f>
        <v>0.47500000000000003</v>
      </c>
      <c r="E196" s="281"/>
      <c r="F196" s="160">
        <f>F203+F208+F213</f>
        <v>65170.659814169572</v>
      </c>
    </row>
    <row r="197" spans="1:6" ht="18">
      <c r="A197" s="235"/>
      <c r="B197" s="177" t="s">
        <v>29</v>
      </c>
      <c r="C197" s="178"/>
      <c r="D197" s="253"/>
      <c r="E197" s="178"/>
      <c r="F197" s="181"/>
    </row>
    <row r="198" spans="1:6" ht="18">
      <c r="A198" s="235"/>
      <c r="B198" s="182" t="s">
        <v>14</v>
      </c>
      <c r="C198" s="18" t="s">
        <v>45</v>
      </c>
      <c r="D198" s="253">
        <f>D196*(4/7)*1.57</f>
        <v>0.4261428571428571</v>
      </c>
      <c r="E198" s="178">
        <v>32000</v>
      </c>
      <c r="F198" s="181">
        <f>D198*E198</f>
        <v>13636.571428571428</v>
      </c>
    </row>
    <row r="199" spans="1:6" ht="18">
      <c r="A199" s="235"/>
      <c r="B199" s="182" t="s">
        <v>13</v>
      </c>
      <c r="C199" s="18" t="s">
        <v>45</v>
      </c>
      <c r="D199" s="253">
        <f>D196*(2/7)*1.54</f>
        <v>0.20899999999999999</v>
      </c>
      <c r="E199" s="178">
        <v>25000</v>
      </c>
      <c r="F199" s="181">
        <f>D199*E199</f>
        <v>5225</v>
      </c>
    </row>
    <row r="200" spans="1:6" ht="18">
      <c r="A200" s="235"/>
      <c r="B200" s="182" t="s">
        <v>11</v>
      </c>
      <c r="C200" s="178" t="s">
        <v>12</v>
      </c>
      <c r="D200" s="253">
        <f>D196*(1/7)*1.57*(1440/50)</f>
        <v>3.0682285714285711</v>
      </c>
      <c r="E200" s="178">
        <v>12000</v>
      </c>
      <c r="F200" s="181">
        <f>D200*E200</f>
        <v>36818.742857142854</v>
      </c>
    </row>
    <row r="201" spans="1:6" ht="18">
      <c r="A201" s="206"/>
      <c r="B201" s="102" t="s">
        <v>15</v>
      </c>
      <c r="C201" s="56" t="s">
        <v>16</v>
      </c>
      <c r="D201" s="137">
        <f>D206*10</f>
        <v>0.79166666666666674</v>
      </c>
      <c r="E201" s="109">
        <v>1587</v>
      </c>
      <c r="F201" s="295">
        <f>D201*E201</f>
        <v>1256.3750000000002</v>
      </c>
    </row>
    <row r="202" spans="1:6" ht="18">
      <c r="A202" s="206"/>
      <c r="B202" s="102" t="s">
        <v>17</v>
      </c>
      <c r="C202" s="56" t="s">
        <v>16</v>
      </c>
      <c r="D202" s="137">
        <f>D207*5</f>
        <v>0.39583333333333337</v>
      </c>
      <c r="E202" s="109">
        <v>1587</v>
      </c>
      <c r="F202" s="295">
        <f>D202*E202</f>
        <v>628.18750000000011</v>
      </c>
    </row>
    <row r="203" spans="1:6" ht="18">
      <c r="A203" s="235"/>
      <c r="B203" s="177" t="s">
        <v>5</v>
      </c>
      <c r="C203" s="178"/>
      <c r="D203" s="253"/>
      <c r="E203" s="178"/>
      <c r="F203" s="297">
        <f>F198+F199+F200</f>
        <v>55680.314285714281</v>
      </c>
    </row>
    <row r="204" spans="1:6" ht="18">
      <c r="A204" s="235"/>
      <c r="B204" s="182"/>
      <c r="C204" s="178"/>
      <c r="D204" s="253"/>
      <c r="E204" s="178"/>
      <c r="F204" s="181"/>
    </row>
    <row r="205" spans="1:6" ht="18">
      <c r="A205" s="206"/>
      <c r="B205" s="101" t="s">
        <v>19</v>
      </c>
      <c r="C205" s="56"/>
      <c r="D205" s="137"/>
      <c r="E205" s="20"/>
      <c r="F205" s="295"/>
    </row>
    <row r="206" spans="1:6" ht="18">
      <c r="A206" s="206"/>
      <c r="B206" s="102" t="s">
        <v>20</v>
      </c>
      <c r="C206" s="56" t="s">
        <v>21</v>
      </c>
      <c r="D206" s="137">
        <f>D196/6</f>
        <v>7.9166666666666677E-2</v>
      </c>
      <c r="E206" s="20">
        <v>50000</v>
      </c>
      <c r="F206" s="295">
        <f>D206*E206</f>
        <v>3958.3333333333339</v>
      </c>
    </row>
    <row r="207" spans="1:6" ht="18">
      <c r="A207" s="206"/>
      <c r="B207" s="102" t="s">
        <v>22</v>
      </c>
      <c r="C207" s="56" t="s">
        <v>21</v>
      </c>
      <c r="D207" s="137">
        <f>D196/6</f>
        <v>7.9166666666666677E-2</v>
      </c>
      <c r="E207" s="20">
        <v>15000</v>
      </c>
      <c r="F207" s="295">
        <f>D207*E207</f>
        <v>1187.5000000000002</v>
      </c>
    </row>
    <row r="208" spans="1:6" ht="19.5">
      <c r="A208" s="207"/>
      <c r="B208" s="101" t="s">
        <v>23</v>
      </c>
      <c r="C208" s="57"/>
      <c r="D208" s="124"/>
      <c r="E208" s="261"/>
      <c r="F208" s="296">
        <f>SUM(F206:F207)</f>
        <v>5145.8333333333339</v>
      </c>
    </row>
    <row r="209" spans="1:6" ht="19.5">
      <c r="A209" s="207"/>
      <c r="B209" s="101"/>
      <c r="C209" s="57"/>
      <c r="D209" s="124"/>
      <c r="E209" s="261"/>
      <c r="F209" s="296"/>
    </row>
    <row r="210" spans="1:6" ht="18">
      <c r="A210" s="238"/>
      <c r="B210" s="177" t="s">
        <v>33</v>
      </c>
      <c r="C210" s="178"/>
      <c r="D210" s="253"/>
      <c r="E210" s="178"/>
      <c r="F210" s="181"/>
    </row>
    <row r="211" spans="1:6" ht="18">
      <c r="A211" s="238"/>
      <c r="B211" s="182" t="s">
        <v>34</v>
      </c>
      <c r="C211" s="178" t="s">
        <v>21</v>
      </c>
      <c r="D211" s="253">
        <f>D196/1.64</f>
        <v>0.28963414634146345</v>
      </c>
      <c r="E211" s="178">
        <v>7000</v>
      </c>
      <c r="F211" s="181">
        <f>+D211*E211</f>
        <v>2027.4390243902442</v>
      </c>
    </row>
    <row r="212" spans="1:6" ht="18">
      <c r="A212" s="238"/>
      <c r="B212" s="182" t="s">
        <v>7</v>
      </c>
      <c r="C212" s="178" t="s">
        <v>21</v>
      </c>
      <c r="D212" s="253">
        <f>+D211*2</f>
        <v>0.5792682926829269</v>
      </c>
      <c r="E212" s="178">
        <v>4000</v>
      </c>
      <c r="F212" s="181">
        <f>+D212*E212</f>
        <v>2317.0731707317077</v>
      </c>
    </row>
    <row r="213" spans="1:6" s="63" customFormat="1" ht="19.5">
      <c r="A213" s="188"/>
      <c r="B213" s="177" t="s">
        <v>119</v>
      </c>
      <c r="C213" s="185"/>
      <c r="D213" s="254"/>
      <c r="E213" s="185"/>
      <c r="F213" s="297">
        <f>F211+F212</f>
        <v>4344.5121951219517</v>
      </c>
    </row>
    <row r="214" spans="1:6" ht="18">
      <c r="A214" s="238"/>
      <c r="B214" s="182"/>
      <c r="C214" s="178"/>
      <c r="D214" s="253"/>
      <c r="E214" s="178"/>
      <c r="F214" s="181"/>
    </row>
    <row r="215" spans="1:6" s="63" customFormat="1" ht="19.5">
      <c r="A215" s="188">
        <v>11</v>
      </c>
      <c r="B215" s="488" t="s">
        <v>76</v>
      </c>
      <c r="C215" s="488"/>
      <c r="D215" s="488"/>
      <c r="E215" s="488"/>
      <c r="F215" s="489"/>
    </row>
    <row r="216" spans="1:6" ht="18">
      <c r="A216" s="199">
        <v>11.01</v>
      </c>
      <c r="B216" s="99" t="s">
        <v>75</v>
      </c>
      <c r="C216" s="41" t="s">
        <v>36</v>
      </c>
      <c r="D216" s="117">
        <v>72</v>
      </c>
      <c r="E216" s="3">
        <f>F216/D216</f>
        <v>4696.5141538461539</v>
      </c>
      <c r="F216" s="298">
        <f>F223+F233</f>
        <v>338149.01907692308</v>
      </c>
    </row>
    <row r="217" spans="1:6" ht="18">
      <c r="A217" s="203"/>
      <c r="B217" s="19"/>
      <c r="C217" s="20"/>
      <c r="D217" s="137">
        <f>D216*0.05</f>
        <v>3.6</v>
      </c>
      <c r="E217" s="20"/>
      <c r="F217" s="165"/>
    </row>
    <row r="218" spans="1:6" ht="18">
      <c r="A218" s="204"/>
      <c r="B218" s="97" t="s">
        <v>2</v>
      </c>
      <c r="C218" s="23"/>
      <c r="D218" s="118"/>
      <c r="E218" s="9"/>
      <c r="F218" s="292"/>
    </row>
    <row r="219" spans="1:6" ht="18">
      <c r="A219" s="201"/>
      <c r="B219" s="13" t="s">
        <v>30</v>
      </c>
      <c r="C219" s="9" t="s">
        <v>28</v>
      </c>
      <c r="D219" s="133">
        <f>D216*0.1*1.5</f>
        <v>10.8</v>
      </c>
      <c r="E219" s="9">
        <v>12000</v>
      </c>
      <c r="F219" s="155">
        <f>+D219*E219</f>
        <v>129600.00000000001</v>
      </c>
    </row>
    <row r="220" spans="1:6" ht="18">
      <c r="A220" s="204"/>
      <c r="B220" s="98" t="s">
        <v>11</v>
      </c>
      <c r="C220" s="23" t="s">
        <v>12</v>
      </c>
      <c r="D220" s="133">
        <f>D217*(1/13)*1.57*(1440/50)</f>
        <v>12.521353846153847</v>
      </c>
      <c r="E220" s="9">
        <v>12000</v>
      </c>
      <c r="F220" s="292">
        <f>D220*E220</f>
        <v>150256.24615384615</v>
      </c>
    </row>
    <row r="221" spans="1:6" ht="18">
      <c r="A221" s="204"/>
      <c r="B221" s="98" t="s">
        <v>13</v>
      </c>
      <c r="C221" s="23" t="s">
        <v>10</v>
      </c>
      <c r="D221" s="133">
        <f>D217*(4/13)*1.57</f>
        <v>1.7390769230769232</v>
      </c>
      <c r="E221" s="9">
        <v>25000</v>
      </c>
      <c r="F221" s="292">
        <f>D221*E221</f>
        <v>43476.923076923078</v>
      </c>
    </row>
    <row r="222" spans="1:6" ht="18">
      <c r="A222" s="204"/>
      <c r="B222" s="98" t="s">
        <v>14</v>
      </c>
      <c r="C222" s="23" t="s">
        <v>10</v>
      </c>
      <c r="D222" s="133">
        <f>D217*(8/13)*1.57</f>
        <v>3.4781538461538464</v>
      </c>
      <c r="E222" s="9">
        <v>27000</v>
      </c>
      <c r="F222" s="292">
        <f>D222*E222</f>
        <v>93910.153846153858</v>
      </c>
    </row>
    <row r="223" spans="1:6" ht="19.5">
      <c r="A223" s="168"/>
      <c r="B223" s="97" t="s">
        <v>127</v>
      </c>
      <c r="C223" s="28"/>
      <c r="D223" s="121"/>
      <c r="E223" s="12"/>
      <c r="F223" s="293">
        <f>SUM(F220:F222)</f>
        <v>287643.32307692309</v>
      </c>
    </row>
    <row r="224" spans="1:6" ht="19.5">
      <c r="A224" s="168"/>
      <c r="B224" s="97"/>
      <c r="C224" s="28"/>
      <c r="D224" s="121"/>
      <c r="E224" s="12"/>
      <c r="F224" s="293"/>
    </row>
    <row r="225" spans="1:6" ht="18">
      <c r="A225" s="206"/>
      <c r="B225" s="101" t="s">
        <v>19</v>
      </c>
      <c r="C225" s="56"/>
      <c r="D225" s="137"/>
      <c r="E225" s="20"/>
      <c r="F225" s="295"/>
    </row>
    <row r="226" spans="1:6" ht="18">
      <c r="A226" s="206"/>
      <c r="B226" s="102" t="s">
        <v>20</v>
      </c>
      <c r="C226" s="56" t="s">
        <v>21</v>
      </c>
      <c r="D226" s="137">
        <f>D212/6</f>
        <v>9.6544715447154483E-2</v>
      </c>
      <c r="E226" s="20">
        <v>50000</v>
      </c>
      <c r="F226" s="295">
        <f>D226*E226</f>
        <v>4827.2357723577243</v>
      </c>
    </row>
    <row r="227" spans="1:6" ht="18">
      <c r="A227" s="206"/>
      <c r="B227" s="102" t="s">
        <v>22</v>
      </c>
      <c r="C227" s="56" t="s">
        <v>21</v>
      </c>
      <c r="D227" s="137">
        <f>D212/6</f>
        <v>9.6544715447154483E-2</v>
      </c>
      <c r="E227" s="20">
        <v>15000</v>
      </c>
      <c r="F227" s="295">
        <f>D227*E227</f>
        <v>1448.1707317073171</v>
      </c>
    </row>
    <row r="228" spans="1:6" ht="19.5">
      <c r="A228" s="207"/>
      <c r="B228" s="101" t="s">
        <v>112</v>
      </c>
      <c r="C228" s="57"/>
      <c r="D228" s="124"/>
      <c r="E228" s="261"/>
      <c r="F228" s="296">
        <f>SUM(F226:F227)</f>
        <v>6275.4065040650412</v>
      </c>
    </row>
    <row r="229" spans="1:6" ht="18">
      <c r="A229" s="204"/>
      <c r="B229" s="98"/>
      <c r="C229" s="23"/>
      <c r="D229" s="118"/>
      <c r="E229" s="9"/>
      <c r="F229" s="292"/>
    </row>
    <row r="230" spans="1:6" ht="18">
      <c r="A230" s="204"/>
      <c r="B230" s="97" t="s">
        <v>6</v>
      </c>
      <c r="C230" s="23"/>
      <c r="D230" s="118"/>
      <c r="E230" s="9"/>
      <c r="F230" s="292"/>
    </row>
    <row r="231" spans="1:6" ht="18">
      <c r="A231" s="204"/>
      <c r="B231" s="98" t="s">
        <v>24</v>
      </c>
      <c r="C231" s="23" t="s">
        <v>21</v>
      </c>
      <c r="D231" s="118">
        <f>(D217/6)*2</f>
        <v>1.2</v>
      </c>
      <c r="E231" s="9">
        <v>6088.08</v>
      </c>
      <c r="F231" s="292">
        <f>D231*E231</f>
        <v>7305.6959999999999</v>
      </c>
    </row>
    <row r="232" spans="1:6" ht="18">
      <c r="A232" s="204"/>
      <c r="B232" s="98" t="s">
        <v>25</v>
      </c>
      <c r="C232" s="23" t="s">
        <v>21</v>
      </c>
      <c r="D232" s="118">
        <f>(D217/6)*18</f>
        <v>10.799999999999999</v>
      </c>
      <c r="E232" s="9">
        <v>4000</v>
      </c>
      <c r="F232" s="292">
        <f>D232*E232</f>
        <v>43199.999999999993</v>
      </c>
    </row>
    <row r="233" spans="1:6" ht="19.5">
      <c r="A233" s="168"/>
      <c r="B233" s="97" t="s">
        <v>113</v>
      </c>
      <c r="C233" s="28"/>
      <c r="D233" s="121"/>
      <c r="E233" s="12"/>
      <c r="F233" s="293">
        <f>SUM(F231:F232)</f>
        <v>50505.695999999996</v>
      </c>
    </row>
    <row r="234" spans="1:6" ht="18">
      <c r="A234" s="204"/>
      <c r="B234" s="98"/>
      <c r="C234" s="23"/>
      <c r="D234" s="118"/>
      <c r="E234" s="9"/>
      <c r="F234" s="292"/>
    </row>
    <row r="235" spans="1:6" ht="18">
      <c r="A235" s="199">
        <v>12.01</v>
      </c>
      <c r="B235" s="2" t="s">
        <v>46</v>
      </c>
      <c r="C235" s="65" t="s">
        <v>47</v>
      </c>
      <c r="D235" s="214">
        <v>72</v>
      </c>
      <c r="E235" s="350">
        <f>F235/D235</f>
        <v>4745.6996666666664</v>
      </c>
      <c r="F235" s="153">
        <f>F239+F244</f>
        <v>341690.37599999999</v>
      </c>
    </row>
    <row r="236" spans="1:6" ht="18">
      <c r="A236" s="201"/>
      <c r="B236" s="60" t="s">
        <v>2</v>
      </c>
      <c r="C236" s="44"/>
      <c r="D236" s="140"/>
      <c r="E236" s="351"/>
      <c r="F236" s="155"/>
    </row>
    <row r="237" spans="1:6" ht="18">
      <c r="A237" s="201"/>
      <c r="B237" s="48" t="s">
        <v>11</v>
      </c>
      <c r="C237" s="44" t="s">
        <v>12</v>
      </c>
      <c r="D237" s="140">
        <f>D235*(1/6)*0.032*(1440/50)*1.54</f>
        <v>17.031168000000001</v>
      </c>
      <c r="E237" s="351">
        <v>12000</v>
      </c>
      <c r="F237" s="155">
        <f>E237*D237</f>
        <v>204374.016</v>
      </c>
    </row>
    <row r="238" spans="1:6" ht="18">
      <c r="A238" s="201"/>
      <c r="B238" s="48" t="s">
        <v>13</v>
      </c>
      <c r="C238" s="44" t="s">
        <v>10</v>
      </c>
      <c r="D238" s="140">
        <f>D235*(5/6)*0.032*1.54</f>
        <v>2.9567999999999999</v>
      </c>
      <c r="E238" s="351">
        <v>25000</v>
      </c>
      <c r="F238" s="155">
        <f>E238*D238</f>
        <v>73920</v>
      </c>
    </row>
    <row r="239" spans="1:6" ht="19.5">
      <c r="A239" s="168"/>
      <c r="B239" s="97" t="s">
        <v>5</v>
      </c>
      <c r="C239" s="28"/>
      <c r="D239" s="121"/>
      <c r="E239" s="12"/>
      <c r="F239" s="293">
        <f>SUM(F237:F238)</f>
        <v>278294.016</v>
      </c>
    </row>
    <row r="240" spans="1:6" ht="18">
      <c r="A240" s="204"/>
      <c r="B240" s="98"/>
      <c r="C240" s="23"/>
      <c r="D240" s="118"/>
      <c r="E240" s="9"/>
      <c r="F240" s="292"/>
    </row>
    <row r="241" spans="1:6" ht="18">
      <c r="A241" s="204"/>
      <c r="B241" s="97" t="s">
        <v>6</v>
      </c>
      <c r="C241" s="23"/>
      <c r="D241" s="118"/>
      <c r="E241" s="9"/>
      <c r="F241" s="292"/>
    </row>
    <row r="242" spans="1:6" ht="18">
      <c r="A242" s="204"/>
      <c r="B242" s="98" t="s">
        <v>34</v>
      </c>
      <c r="C242" s="23" t="s">
        <v>8</v>
      </c>
      <c r="D242" s="118">
        <f>D235/16</f>
        <v>4.5</v>
      </c>
      <c r="E242" s="9">
        <v>6088.08</v>
      </c>
      <c r="F242" s="292">
        <f>D242*E242</f>
        <v>27396.36</v>
      </c>
    </row>
    <row r="243" spans="1:6" ht="18">
      <c r="A243" s="204"/>
      <c r="B243" s="98" t="s">
        <v>7</v>
      </c>
      <c r="C243" s="23" t="s">
        <v>8</v>
      </c>
      <c r="D243" s="118">
        <f>D242*2</f>
        <v>9</v>
      </c>
      <c r="E243" s="9">
        <v>4000</v>
      </c>
      <c r="F243" s="292">
        <f>D243*E243</f>
        <v>36000</v>
      </c>
    </row>
    <row r="244" spans="1:6" ht="19.5">
      <c r="A244" s="168"/>
      <c r="B244" s="97" t="s">
        <v>9</v>
      </c>
      <c r="C244" s="28"/>
      <c r="D244" s="121"/>
      <c r="E244" s="12"/>
      <c r="F244" s="293">
        <f>SUM(F242:F243)</f>
        <v>63396.36</v>
      </c>
    </row>
    <row r="245" spans="1:6" ht="19.5">
      <c r="A245" s="168"/>
      <c r="B245" s="97"/>
      <c r="C245" s="28"/>
      <c r="D245" s="121"/>
      <c r="E245" s="12"/>
      <c r="F245" s="293"/>
    </row>
    <row r="246" spans="1:6" s="90" customFormat="1" ht="19.5">
      <c r="A246" s="168">
        <v>13</v>
      </c>
      <c r="B246" s="484" t="s">
        <v>48</v>
      </c>
      <c r="C246" s="484"/>
      <c r="D246" s="484"/>
      <c r="E246" s="484"/>
      <c r="F246" s="485"/>
    </row>
    <row r="247" spans="1:6" ht="18">
      <c r="A247" s="205">
        <v>13.01</v>
      </c>
      <c r="B247" s="16" t="s">
        <v>49</v>
      </c>
      <c r="C247" s="35" t="s">
        <v>50</v>
      </c>
      <c r="D247" s="125">
        <f>(34*3)-(3.78+1.5)</f>
        <v>96.72</v>
      </c>
      <c r="E247" s="36">
        <f>F247/D247</f>
        <v>3911.1605423728815</v>
      </c>
      <c r="F247" s="153">
        <f>F251+F256</f>
        <v>378287.44765830511</v>
      </c>
    </row>
    <row r="248" spans="1:6" ht="18">
      <c r="A248" s="204"/>
      <c r="B248" s="60" t="s">
        <v>51</v>
      </c>
      <c r="C248" s="44"/>
      <c r="D248" s="133"/>
      <c r="E248" s="9"/>
      <c r="F248" s="155"/>
    </row>
    <row r="249" spans="1:6" ht="18">
      <c r="A249" s="203"/>
      <c r="B249" s="48" t="s">
        <v>52</v>
      </c>
      <c r="C249" s="44" t="s">
        <v>12</v>
      </c>
      <c r="D249" s="118">
        <f>D247*0.015*(1/5)*1.54*(1440/50)</f>
        <v>12.869176319999999</v>
      </c>
      <c r="E249" s="9">
        <f>11000/1.18</f>
        <v>9322.033898305086</v>
      </c>
      <c r="F249" s="155">
        <f>D249*E249</f>
        <v>119966.89789830509</v>
      </c>
    </row>
    <row r="250" spans="1:6" ht="18">
      <c r="A250" s="239"/>
      <c r="B250" s="48" t="s">
        <v>13</v>
      </c>
      <c r="C250" s="44" t="s">
        <v>28</v>
      </c>
      <c r="D250" s="118">
        <f>D247*0.015*1.54*(4/5)</f>
        <v>1.7873856000000001</v>
      </c>
      <c r="E250" s="9">
        <v>25000</v>
      </c>
      <c r="F250" s="155">
        <f>D250*E250</f>
        <v>44684.640000000007</v>
      </c>
    </row>
    <row r="251" spans="1:6" ht="19.5">
      <c r="A251" s="192"/>
      <c r="B251" s="60" t="s">
        <v>5</v>
      </c>
      <c r="C251" s="61"/>
      <c r="D251" s="121"/>
      <c r="E251" s="12"/>
      <c r="F251" s="162">
        <f>SUM(F249:F250)</f>
        <v>164651.53789830511</v>
      </c>
    </row>
    <row r="252" spans="1:6" ht="18">
      <c r="A252" s="239"/>
      <c r="B252" s="48"/>
      <c r="C252" s="44"/>
      <c r="D252" s="118"/>
      <c r="E252" s="9"/>
      <c r="F252" s="155"/>
    </row>
    <row r="253" spans="1:6" ht="18">
      <c r="A253" s="239"/>
      <c r="B253" s="60" t="s">
        <v>53</v>
      </c>
      <c r="C253" s="44"/>
      <c r="D253" s="133"/>
      <c r="E253" s="9"/>
      <c r="F253" s="155"/>
    </row>
    <row r="254" spans="1:6" ht="18">
      <c r="A254" s="239"/>
      <c r="B254" s="48" t="s">
        <v>34</v>
      </c>
      <c r="C254" s="44" t="s">
        <v>8</v>
      </c>
      <c r="D254" s="118">
        <f>D247/10</f>
        <v>9.6720000000000006</v>
      </c>
      <c r="E254" s="9">
        <v>6088.08</v>
      </c>
      <c r="F254" s="155">
        <f>D254*E254</f>
        <v>58883.909760000002</v>
      </c>
    </row>
    <row r="255" spans="1:6" ht="18">
      <c r="A255" s="239"/>
      <c r="B255" s="48" t="s">
        <v>7</v>
      </c>
      <c r="C255" s="44" t="s">
        <v>8</v>
      </c>
      <c r="D255" s="133">
        <f>D254*4</f>
        <v>38.688000000000002</v>
      </c>
      <c r="E255" s="9">
        <v>4000</v>
      </c>
      <c r="F255" s="155">
        <f>D255*E255</f>
        <v>154752</v>
      </c>
    </row>
    <row r="256" spans="1:6" ht="18">
      <c r="A256" s="240"/>
      <c r="B256" s="97" t="s">
        <v>54</v>
      </c>
      <c r="C256" s="49"/>
      <c r="D256" s="133"/>
      <c r="E256" s="50"/>
      <c r="F256" s="162">
        <f>SUM(F254:F255)</f>
        <v>213635.90976000001</v>
      </c>
    </row>
    <row r="257" spans="1:6" ht="18">
      <c r="A257" s="200"/>
      <c r="B257" s="48"/>
      <c r="C257" s="44"/>
      <c r="D257" s="133"/>
      <c r="E257" s="9"/>
      <c r="F257" s="155"/>
    </row>
    <row r="258" spans="1:6" s="90" customFormat="1" ht="19.5">
      <c r="A258" s="192">
        <v>14</v>
      </c>
      <c r="B258" s="104" t="s">
        <v>55</v>
      </c>
      <c r="C258" s="94"/>
      <c r="D258" s="129"/>
      <c r="E258" s="209"/>
      <c r="F258" s="299"/>
    </row>
    <row r="259" spans="1:6" ht="18">
      <c r="A259" s="241">
        <v>14.01</v>
      </c>
      <c r="B259" s="16" t="s">
        <v>49</v>
      </c>
      <c r="C259" s="35" t="s">
        <v>1</v>
      </c>
      <c r="D259" s="125">
        <f>D247</f>
        <v>96.72</v>
      </c>
      <c r="E259" s="35">
        <f>F259/D259</f>
        <v>2189.9299999999998</v>
      </c>
      <c r="F259" s="153">
        <f>F267+F272</f>
        <v>211810.02959999998</v>
      </c>
    </row>
    <row r="260" spans="1:6" ht="18">
      <c r="A260" s="200"/>
      <c r="B260" s="60" t="s">
        <v>2</v>
      </c>
      <c r="C260" s="44"/>
      <c r="D260" s="133"/>
      <c r="E260" s="9"/>
      <c r="F260" s="155"/>
    </row>
    <row r="261" spans="1:6" ht="18">
      <c r="A261" s="242"/>
      <c r="B261" s="48" t="s">
        <v>56</v>
      </c>
      <c r="C261" s="44" t="s">
        <v>57</v>
      </c>
      <c r="D261" s="133">
        <f>D259*0.07*3</f>
        <v>20.311199999999999</v>
      </c>
      <c r="E261" s="9">
        <f>105000/20</f>
        <v>5250</v>
      </c>
      <c r="F261" s="155">
        <f>E261*D261</f>
        <v>106633.8</v>
      </c>
    </row>
    <row r="262" spans="1:6" ht="18">
      <c r="A262" s="239"/>
      <c r="B262" s="48" t="str">
        <f>'[1]Emulsion Paint'!$B$19</f>
        <v>Induit/undercoat ( 2 coats)</v>
      </c>
      <c r="C262" s="44" t="s">
        <v>57</v>
      </c>
      <c r="D262" s="133">
        <f>D259*0.07*2</f>
        <v>13.540800000000001</v>
      </c>
      <c r="E262" s="9">
        <f>20000/20</f>
        <v>1000</v>
      </c>
      <c r="F262" s="155">
        <f t="shared" ref="F262:F266" si="0">E262*D262</f>
        <v>13540.800000000001</v>
      </c>
    </row>
    <row r="263" spans="1:6" ht="18">
      <c r="A263" s="239"/>
      <c r="B263" s="48" t="str">
        <f>'[1]Emulsion Paint'!$B$24</f>
        <v>Roller</v>
      </c>
      <c r="C263" s="44" t="s">
        <v>44</v>
      </c>
      <c r="D263" s="118">
        <f>D259/100</f>
        <v>0.96719999999999995</v>
      </c>
      <c r="E263" s="9">
        <v>2000</v>
      </c>
      <c r="F263" s="155">
        <f t="shared" si="0"/>
        <v>1934.3999999999999</v>
      </c>
    </row>
    <row r="264" spans="1:6" ht="18">
      <c r="A264" s="239"/>
      <c r="B264" s="48" t="str">
        <f>'[1]Emulsion Paint'!$B$23</f>
        <v>Brush</v>
      </c>
      <c r="C264" s="44" t="s">
        <v>44</v>
      </c>
      <c r="D264" s="118">
        <f>D259/100</f>
        <v>0.96719999999999995</v>
      </c>
      <c r="E264" s="9">
        <v>1000</v>
      </c>
      <c r="F264" s="155">
        <f t="shared" si="0"/>
        <v>967.19999999999993</v>
      </c>
    </row>
    <row r="265" spans="1:6" ht="18">
      <c r="A265" s="239"/>
      <c r="B265" s="48" t="s">
        <v>58</v>
      </c>
      <c r="C265" s="44" t="s">
        <v>59</v>
      </c>
      <c r="D265" s="118">
        <f>D259/100</f>
        <v>0.96719999999999995</v>
      </c>
      <c r="E265" s="9">
        <v>500</v>
      </c>
      <c r="F265" s="155">
        <f t="shared" si="0"/>
        <v>483.59999999999997</v>
      </c>
    </row>
    <row r="266" spans="1:6" ht="18">
      <c r="A266" s="239"/>
      <c r="B266" s="48" t="s">
        <v>60</v>
      </c>
      <c r="C266" s="44" t="s">
        <v>44</v>
      </c>
      <c r="D266" s="118">
        <f>D259/50</f>
        <v>1.9343999999999999</v>
      </c>
      <c r="E266" s="9">
        <v>5000</v>
      </c>
      <c r="F266" s="155">
        <f t="shared" si="0"/>
        <v>9672</v>
      </c>
    </row>
    <row r="267" spans="1:6" ht="19.5">
      <c r="A267" s="192"/>
      <c r="B267" s="60" t="s">
        <v>61</v>
      </c>
      <c r="C267" s="61"/>
      <c r="D267" s="121"/>
      <c r="E267" s="12"/>
      <c r="F267" s="162">
        <f>SUM(F261:F266)</f>
        <v>133231.79999999999</v>
      </c>
    </row>
    <row r="268" spans="1:6" ht="18">
      <c r="A268" s="239"/>
      <c r="B268" s="48"/>
      <c r="C268" s="44"/>
      <c r="D268" s="118"/>
      <c r="E268" s="9"/>
      <c r="F268" s="155"/>
    </row>
    <row r="269" spans="1:6" ht="18">
      <c r="A269" s="239"/>
      <c r="B269" s="60" t="s">
        <v>6</v>
      </c>
      <c r="C269" s="44"/>
      <c r="D269" s="133"/>
      <c r="E269" s="9"/>
      <c r="F269" s="155"/>
    </row>
    <row r="270" spans="1:6" ht="18">
      <c r="A270" s="239"/>
      <c r="B270" s="48" t="s">
        <v>7</v>
      </c>
      <c r="C270" s="44" t="s">
        <v>62</v>
      </c>
      <c r="D270" s="133">
        <f>D271</f>
        <v>7.1330999999999998</v>
      </c>
      <c r="E270" s="9">
        <v>4000</v>
      </c>
      <c r="F270" s="155">
        <f>E270*D270</f>
        <v>28532.399999999998</v>
      </c>
    </row>
    <row r="271" spans="1:6" ht="18">
      <c r="A271" s="239"/>
      <c r="B271" s="48" t="s">
        <v>63</v>
      </c>
      <c r="C271" s="44" t="s">
        <v>62</v>
      </c>
      <c r="D271" s="133">
        <f>D259*(0.59/8)</f>
        <v>7.1330999999999998</v>
      </c>
      <c r="E271" s="9">
        <v>7016</v>
      </c>
      <c r="F271" s="155">
        <f>E271*D271</f>
        <v>50045.829599999997</v>
      </c>
    </row>
    <row r="272" spans="1:6" ht="19.5">
      <c r="A272" s="168"/>
      <c r="B272" s="97" t="s">
        <v>9</v>
      </c>
      <c r="C272" s="28"/>
      <c r="D272" s="121"/>
      <c r="E272" s="12"/>
      <c r="F272" s="293">
        <f>SUM(F270:F271)</f>
        <v>78578.229599999991</v>
      </c>
    </row>
    <row r="273" spans="1:6" ht="18">
      <c r="A273" s="243"/>
      <c r="B273" s="106"/>
      <c r="C273" s="47"/>
      <c r="D273" s="128"/>
      <c r="E273" s="50"/>
      <c r="F273" s="300"/>
    </row>
    <row r="274" spans="1:6" s="90" customFormat="1" ht="19.5">
      <c r="A274" s="168">
        <v>15</v>
      </c>
      <c r="B274" s="484" t="s">
        <v>126</v>
      </c>
      <c r="C274" s="484"/>
      <c r="D274" s="484"/>
      <c r="E274" s="484"/>
      <c r="F274" s="485"/>
    </row>
    <row r="275" spans="1:6" ht="18">
      <c r="A275" s="205">
        <v>15.01</v>
      </c>
      <c r="B275" s="16" t="s">
        <v>64</v>
      </c>
      <c r="C275" s="35" t="s">
        <v>50</v>
      </c>
      <c r="D275" s="138">
        <f>D259</f>
        <v>96.72</v>
      </c>
      <c r="E275" s="36">
        <f>F275/D275</f>
        <v>4012.2128192090404</v>
      </c>
      <c r="F275" s="153">
        <f>F280+F285</f>
        <v>388061.22387389839</v>
      </c>
    </row>
    <row r="276" spans="1:6" ht="18">
      <c r="A276" s="204"/>
      <c r="B276" s="60" t="s">
        <v>51</v>
      </c>
      <c r="C276" s="44"/>
      <c r="D276" s="133"/>
      <c r="E276" s="9"/>
      <c r="F276" s="155"/>
    </row>
    <row r="277" spans="1:6" ht="18">
      <c r="A277" s="203"/>
      <c r="B277" s="48" t="s">
        <v>52</v>
      </c>
      <c r="C277" s="44" t="s">
        <v>12</v>
      </c>
      <c r="D277" s="118">
        <f>D275*0.01*(1/4)*1.54*(1440/50)+(D275*0.003*(1/6)*1.57*(1440/50))</f>
        <v>12.910959360000003</v>
      </c>
      <c r="E277" s="9">
        <f>11000/1.18</f>
        <v>9322.033898305086</v>
      </c>
      <c r="F277" s="155">
        <f>D277*E277</f>
        <v>120356.40081355938</v>
      </c>
    </row>
    <row r="278" spans="1:6" ht="18">
      <c r="A278" s="239"/>
      <c r="B278" s="48" t="s">
        <v>13</v>
      </c>
      <c r="C278" s="44" t="s">
        <v>28</v>
      </c>
      <c r="D278" s="118">
        <f>D275*0.01*1.5*1.54*(3/4)</f>
        <v>1.6756739999999999</v>
      </c>
      <c r="E278" s="9">
        <v>25000</v>
      </c>
      <c r="F278" s="155">
        <f>D278*E278</f>
        <v>41891.85</v>
      </c>
    </row>
    <row r="279" spans="1:6" ht="18">
      <c r="A279" s="239"/>
      <c r="B279" s="48" t="s">
        <v>65</v>
      </c>
      <c r="C279" s="44" t="s">
        <v>31</v>
      </c>
      <c r="D279" s="118">
        <f>D275*0.003*(5/6)*1.57*(1440/50)</f>
        <v>10.933228800000002</v>
      </c>
      <c r="E279" s="9">
        <f>9000/1.18</f>
        <v>7627.1186440677966</v>
      </c>
      <c r="F279" s="155">
        <f>D279*E279</f>
        <v>83389.033220338999</v>
      </c>
    </row>
    <row r="280" spans="1:6" ht="19.5">
      <c r="A280" s="93"/>
      <c r="B280" s="60" t="s">
        <v>5</v>
      </c>
      <c r="C280" s="61"/>
      <c r="D280" s="121"/>
      <c r="E280" s="12"/>
      <c r="F280" s="162">
        <f>SUM(F277:F279)</f>
        <v>245637.28403389838</v>
      </c>
    </row>
    <row r="281" spans="1:6" ht="18">
      <c r="A281" s="92"/>
      <c r="B281" s="48"/>
      <c r="C281" s="44"/>
      <c r="D281" s="118"/>
      <c r="E281" s="9"/>
      <c r="F281" s="155"/>
    </row>
    <row r="282" spans="1:6" ht="18">
      <c r="A282" s="92"/>
      <c r="B282" s="60" t="s">
        <v>53</v>
      </c>
      <c r="C282" s="44"/>
      <c r="D282" s="133"/>
      <c r="E282" s="9"/>
      <c r="F282" s="155"/>
    </row>
    <row r="283" spans="1:6" ht="18">
      <c r="A283" s="92"/>
      <c r="B283" s="48" t="s">
        <v>34</v>
      </c>
      <c r="C283" s="44" t="s">
        <v>8</v>
      </c>
      <c r="D283" s="118">
        <f>D275/15</f>
        <v>6.4479999999999995</v>
      </c>
      <c r="E283" s="9">
        <v>6088.08</v>
      </c>
      <c r="F283" s="155">
        <f>D283*E283</f>
        <v>39255.939839999999</v>
      </c>
    </row>
    <row r="284" spans="1:6" ht="18">
      <c r="A284" s="92"/>
      <c r="B284" s="48" t="s">
        <v>7</v>
      </c>
      <c r="C284" s="44" t="s">
        <v>8</v>
      </c>
      <c r="D284" s="133">
        <f>D283*4</f>
        <v>25.791999999999998</v>
      </c>
      <c r="E284" s="9">
        <v>4000</v>
      </c>
      <c r="F284" s="155">
        <f>D284*E284</f>
        <v>103167.99999999999</v>
      </c>
    </row>
    <row r="285" spans="1:6" ht="19.5">
      <c r="A285" s="93"/>
      <c r="B285" s="97" t="s">
        <v>54</v>
      </c>
      <c r="C285" s="61"/>
      <c r="D285" s="135"/>
      <c r="E285" s="12"/>
      <c r="F285" s="162">
        <f>SUM(F283:F284)</f>
        <v>142423.93983999998</v>
      </c>
    </row>
    <row r="286" spans="1:6" ht="18">
      <c r="A286" s="91"/>
      <c r="B286" s="98"/>
      <c r="C286" s="23"/>
      <c r="D286" s="118"/>
      <c r="E286" s="9"/>
      <c r="F286" s="292"/>
    </row>
    <row r="287" spans="1:6" ht="19.649999999999999" customHeight="1">
      <c r="A287" s="84">
        <v>16</v>
      </c>
      <c r="B287" s="484" t="s">
        <v>143</v>
      </c>
      <c r="C287" s="484"/>
      <c r="D287" s="484"/>
      <c r="E287" s="484"/>
      <c r="F287" s="485"/>
    </row>
    <row r="288" spans="1:6" ht="18">
      <c r="A288" s="208">
        <v>16.010000000000002</v>
      </c>
      <c r="B288" s="16" t="s">
        <v>66</v>
      </c>
      <c r="C288" s="35" t="s">
        <v>1</v>
      </c>
      <c r="D288" s="138">
        <f>D275+D247</f>
        <v>193.44</v>
      </c>
      <c r="E288" s="138">
        <f>F288/D288</f>
        <v>3900.6992307692308</v>
      </c>
      <c r="F288" s="153">
        <f>F298+F303</f>
        <v>754551.25919999997</v>
      </c>
    </row>
    <row r="289" spans="1:6" ht="18">
      <c r="A289" s="91"/>
      <c r="B289" s="60" t="s">
        <v>2</v>
      </c>
      <c r="C289" s="44"/>
      <c r="D289" s="133"/>
      <c r="E289" s="133"/>
      <c r="F289" s="155"/>
    </row>
    <row r="290" spans="1:6" ht="18">
      <c r="A290" s="91"/>
      <c r="B290" s="48" t="str">
        <f>'[1]Emulsion Paint'!$B$22</f>
        <v>Emulsion paint ( 3 coats)</v>
      </c>
      <c r="C290" s="44" t="s">
        <v>57</v>
      </c>
      <c r="D290" s="133">
        <f>D288*0.07*3</f>
        <v>40.622399999999999</v>
      </c>
      <c r="E290" s="133">
        <f>65000/20</f>
        <v>3250</v>
      </c>
      <c r="F290" s="155">
        <f t="shared" ref="F290:F297" si="1">E290*D290</f>
        <v>132022.79999999999</v>
      </c>
    </row>
    <row r="291" spans="1:6" ht="18">
      <c r="A291" s="231"/>
      <c r="B291" s="48" t="str">
        <f>'[1]Emulsion Paint'!$B$20</f>
        <v>Whiting/stucco ( 2 coats)</v>
      </c>
      <c r="C291" s="44" t="s">
        <v>67</v>
      </c>
      <c r="D291" s="133">
        <f>D288*((50*2)/65)*2</f>
        <v>595.20000000000005</v>
      </c>
      <c r="E291" s="133">
        <f>16000/50</f>
        <v>320</v>
      </c>
      <c r="F291" s="155">
        <f t="shared" si="1"/>
        <v>190464</v>
      </c>
    </row>
    <row r="292" spans="1:6" ht="18">
      <c r="A292" s="92"/>
      <c r="B292" s="48" t="str">
        <f>'[1]Emulsion Paint'!$B$19</f>
        <v>Induit/undercoat ( 2 coats)</v>
      </c>
      <c r="C292" s="44" t="s">
        <v>57</v>
      </c>
      <c r="D292" s="133">
        <f>D288*0.07*2</f>
        <v>27.081600000000002</v>
      </c>
      <c r="E292" s="133">
        <f>20000/20</f>
        <v>1000</v>
      </c>
      <c r="F292" s="155">
        <f t="shared" si="1"/>
        <v>27081.600000000002</v>
      </c>
    </row>
    <row r="293" spans="1:6" ht="18">
      <c r="A293" s="92"/>
      <c r="B293" s="48" t="s">
        <v>68</v>
      </c>
      <c r="C293" s="44" t="s">
        <v>57</v>
      </c>
      <c r="D293" s="133">
        <f>D288*((30/65)*2)</f>
        <v>178.56</v>
      </c>
      <c r="E293" s="133">
        <f>20000/20</f>
        <v>1000</v>
      </c>
      <c r="F293" s="155">
        <f t="shared" si="1"/>
        <v>178560</v>
      </c>
    </row>
    <row r="294" spans="1:6" ht="18">
      <c r="A294" s="92"/>
      <c r="B294" s="48" t="str">
        <f>'[1]Emulsion Paint'!$B$21</f>
        <v>Colle</v>
      </c>
      <c r="C294" s="44" t="s">
        <v>69</v>
      </c>
      <c r="D294" s="133">
        <f>D288*((1/65)*2)</f>
        <v>5.952</v>
      </c>
      <c r="E294" s="133">
        <f>10500</f>
        <v>10500</v>
      </c>
      <c r="F294" s="155">
        <f t="shared" si="1"/>
        <v>62496</v>
      </c>
    </row>
    <row r="295" spans="1:6" ht="18">
      <c r="A295" s="92"/>
      <c r="B295" s="48" t="str">
        <f>'[1]Emulsion Paint'!$B$24</f>
        <v>Roller</v>
      </c>
      <c r="C295" s="44" t="s">
        <v>44</v>
      </c>
      <c r="D295" s="118">
        <f>D288/100</f>
        <v>1.9343999999999999</v>
      </c>
      <c r="E295" s="133">
        <v>2000</v>
      </c>
      <c r="F295" s="155">
        <f t="shared" si="1"/>
        <v>3868.7999999999997</v>
      </c>
    </row>
    <row r="296" spans="1:6" ht="18">
      <c r="A296" s="92"/>
      <c r="B296" s="48" t="str">
        <f>'[1]Emulsion Paint'!$B$23</f>
        <v>Brush</v>
      </c>
      <c r="C296" s="44" t="s">
        <v>44</v>
      </c>
      <c r="D296" s="118">
        <f>D288/100</f>
        <v>1.9343999999999999</v>
      </c>
      <c r="E296" s="133">
        <v>1000</v>
      </c>
      <c r="F296" s="155">
        <f t="shared" si="1"/>
        <v>1934.3999999999999</v>
      </c>
    </row>
    <row r="297" spans="1:6" ht="18">
      <c r="A297" s="92"/>
      <c r="B297" s="48" t="s">
        <v>58</v>
      </c>
      <c r="C297" s="44" t="s">
        <v>59</v>
      </c>
      <c r="D297" s="118">
        <f>D288/100</f>
        <v>1.9343999999999999</v>
      </c>
      <c r="E297" s="133">
        <v>500</v>
      </c>
      <c r="F297" s="155">
        <f t="shared" si="1"/>
        <v>967.19999999999993</v>
      </c>
    </row>
    <row r="298" spans="1:6" ht="19.5">
      <c r="A298" s="93"/>
      <c r="B298" s="60" t="s">
        <v>5</v>
      </c>
      <c r="C298" s="61"/>
      <c r="D298" s="121"/>
      <c r="E298" s="135"/>
      <c r="F298" s="162">
        <f>SUM(F290:F297)</f>
        <v>597394.79999999993</v>
      </c>
    </row>
    <row r="299" spans="1:6" ht="18">
      <c r="A299" s="92"/>
      <c r="B299" s="48"/>
      <c r="C299" s="44"/>
      <c r="D299" s="118"/>
      <c r="E299" s="133"/>
      <c r="F299" s="155"/>
    </row>
    <row r="300" spans="1:6" ht="18">
      <c r="A300" s="92"/>
      <c r="B300" s="60" t="s">
        <v>6</v>
      </c>
      <c r="C300" s="44"/>
      <c r="D300" s="133"/>
      <c r="E300" s="133"/>
      <c r="F300" s="155"/>
    </row>
    <row r="301" spans="1:6" ht="18">
      <c r="A301" s="92"/>
      <c r="B301" s="48" t="s">
        <v>7</v>
      </c>
      <c r="C301" s="44" t="s">
        <v>62</v>
      </c>
      <c r="D301" s="133">
        <f>D302</f>
        <v>14.2662</v>
      </c>
      <c r="E301" s="133">
        <v>4000</v>
      </c>
      <c r="F301" s="155">
        <f>E301*D301</f>
        <v>57064.799999999996</v>
      </c>
    </row>
    <row r="302" spans="1:6" ht="18">
      <c r="A302" s="92"/>
      <c r="B302" s="48" t="s">
        <v>70</v>
      </c>
      <c r="C302" s="44" t="s">
        <v>62</v>
      </c>
      <c r="D302" s="133">
        <f>D288*(0.59/8)</f>
        <v>14.2662</v>
      </c>
      <c r="E302" s="133">
        <v>7016</v>
      </c>
      <c r="F302" s="155">
        <f>E302*D302</f>
        <v>100091.65919999999</v>
      </c>
    </row>
    <row r="303" spans="1:6" ht="19.5">
      <c r="A303" s="93"/>
      <c r="B303" s="60" t="s">
        <v>54</v>
      </c>
      <c r="C303" s="61"/>
      <c r="D303" s="135"/>
      <c r="E303" s="135"/>
      <c r="F303" s="162">
        <f>SUM(F301:F302)</f>
        <v>157156.45919999998</v>
      </c>
    </row>
    <row r="304" spans="1:6" ht="19.5">
      <c r="A304" s="93"/>
      <c r="B304" s="60"/>
      <c r="C304" s="61"/>
      <c r="D304" s="135"/>
      <c r="E304" s="135"/>
      <c r="F304" s="162"/>
    </row>
    <row r="305" spans="1:6" ht="36.65" customHeight="1">
      <c r="A305" s="321">
        <v>17</v>
      </c>
      <c r="B305" s="475" t="s">
        <v>133</v>
      </c>
      <c r="C305" s="475"/>
      <c r="D305" s="475"/>
      <c r="E305" s="475"/>
      <c r="F305" s="476"/>
    </row>
    <row r="306" spans="1:6" ht="18">
      <c r="A306" s="1">
        <v>17.010000000000002</v>
      </c>
      <c r="B306" s="2" t="s">
        <v>166</v>
      </c>
      <c r="C306" s="274" t="s">
        <v>131</v>
      </c>
      <c r="D306" s="272">
        <v>6</v>
      </c>
      <c r="E306" s="4">
        <f>F306/D306</f>
        <v>325053.42359999998</v>
      </c>
      <c r="F306" s="307">
        <f>F309+F314</f>
        <v>1950320.5415999999</v>
      </c>
    </row>
    <row r="307" spans="1:6" ht="18">
      <c r="A307" s="229"/>
      <c r="B307" s="8" t="s">
        <v>29</v>
      </c>
      <c r="C307" s="9"/>
      <c r="D307" s="133"/>
      <c r="E307" s="133"/>
      <c r="F307" s="155"/>
    </row>
    <row r="308" spans="1:6" ht="18">
      <c r="A308" s="86"/>
      <c r="B308" s="48" t="s">
        <v>145</v>
      </c>
      <c r="C308" s="250" t="s">
        <v>131</v>
      </c>
      <c r="D308" s="270">
        <v>6</v>
      </c>
      <c r="E308" s="109">
        <f>0.7*445247.748</f>
        <v>311673.42359999998</v>
      </c>
      <c r="F308" s="308">
        <f>D308*E308</f>
        <v>1870040.5415999999</v>
      </c>
    </row>
    <row r="309" spans="1:6" ht="19.5">
      <c r="A309" s="87"/>
      <c r="B309" s="8" t="s">
        <v>5</v>
      </c>
      <c r="C309" s="12"/>
      <c r="D309" s="135"/>
      <c r="E309" s="135"/>
      <c r="F309" s="162">
        <f>F308</f>
        <v>1870040.5415999999</v>
      </c>
    </row>
    <row r="310" spans="1:6" ht="18">
      <c r="A310" s="86"/>
      <c r="B310" s="13"/>
      <c r="C310" s="9"/>
      <c r="D310" s="133"/>
      <c r="E310" s="133"/>
      <c r="F310" s="155"/>
    </row>
    <row r="311" spans="1:6" ht="18">
      <c r="A311" s="230"/>
      <c r="B311" s="8" t="s">
        <v>33</v>
      </c>
      <c r="C311" s="9"/>
      <c r="D311" s="133"/>
      <c r="E311" s="133"/>
      <c r="F311" s="155"/>
    </row>
    <row r="312" spans="1:6" ht="18">
      <c r="A312" s="86"/>
      <c r="B312" s="13" t="s">
        <v>34</v>
      </c>
      <c r="C312" s="9" t="s">
        <v>21</v>
      </c>
      <c r="D312" s="118">
        <f>D308/2</f>
        <v>3</v>
      </c>
      <c r="E312" s="133">
        <v>10760</v>
      </c>
      <c r="F312" s="155">
        <f>+D312*E312</f>
        <v>32280</v>
      </c>
    </row>
    <row r="313" spans="1:6" ht="18">
      <c r="A313" s="86"/>
      <c r="B313" s="13" t="s">
        <v>7</v>
      </c>
      <c r="C313" s="9" t="s">
        <v>21</v>
      </c>
      <c r="D313" s="118">
        <f>+D312*4</f>
        <v>12</v>
      </c>
      <c r="E313" s="133">
        <v>4000</v>
      </c>
      <c r="F313" s="155">
        <f>+D313*E313</f>
        <v>48000</v>
      </c>
    </row>
    <row r="314" spans="1:6" ht="19.5">
      <c r="A314" s="87"/>
      <c r="B314" s="8" t="s">
        <v>39</v>
      </c>
      <c r="C314" s="12"/>
      <c r="D314" s="135"/>
      <c r="E314" s="135"/>
      <c r="F314" s="162">
        <f>SUM(F312:F313)</f>
        <v>80280</v>
      </c>
    </row>
    <row r="315" spans="1:6">
      <c r="A315" s="322"/>
      <c r="B315" s="48"/>
      <c r="C315" s="311"/>
      <c r="D315" s="323"/>
      <c r="E315" s="313"/>
      <c r="F315" s="314"/>
    </row>
    <row r="316" spans="1:6" ht="37.65" customHeight="1">
      <c r="A316" s="321">
        <v>18</v>
      </c>
      <c r="B316" s="475" t="s">
        <v>134</v>
      </c>
      <c r="C316" s="475"/>
      <c r="D316" s="475"/>
      <c r="E316" s="475"/>
      <c r="F316" s="476"/>
    </row>
    <row r="317" spans="1:6" ht="18">
      <c r="A317" s="1">
        <v>18.010000000000002</v>
      </c>
      <c r="B317" s="2" t="s">
        <v>135</v>
      </c>
      <c r="C317" s="274" t="s">
        <v>131</v>
      </c>
      <c r="D317" s="272">
        <v>1</v>
      </c>
      <c r="E317" s="304">
        <f>F317/D317</f>
        <v>793380</v>
      </c>
      <c r="F317" s="315">
        <f>F319+F325</f>
        <v>793380</v>
      </c>
    </row>
    <row r="318" spans="1:6" ht="18">
      <c r="A318" s="229"/>
      <c r="B318" s="8" t="s">
        <v>29</v>
      </c>
      <c r="C318" s="9"/>
      <c r="D318" s="133"/>
      <c r="E318" s="133"/>
      <c r="F318" s="155"/>
    </row>
    <row r="319" spans="1:6" ht="18">
      <c r="A319" s="86"/>
      <c r="B319" s="13" t="s">
        <v>168</v>
      </c>
      <c r="C319" s="9" t="s">
        <v>146</v>
      </c>
      <c r="D319" s="133">
        <f>D317</f>
        <v>1</v>
      </c>
      <c r="E319" s="133">
        <v>780000</v>
      </c>
      <c r="F319" s="155">
        <f>+D319*E319</f>
        <v>780000</v>
      </c>
    </row>
    <row r="320" spans="1:6" ht="18">
      <c r="A320" s="86"/>
      <c r="B320" s="8" t="s">
        <v>5</v>
      </c>
      <c r="C320" s="12"/>
      <c r="D320" s="135"/>
      <c r="E320" s="135"/>
      <c r="F320" s="162"/>
    </row>
    <row r="321" spans="1:6" ht="18">
      <c r="A321" s="230"/>
      <c r="B321" s="13"/>
      <c r="C321" s="9"/>
      <c r="D321" s="133"/>
      <c r="E321" s="133"/>
      <c r="F321" s="155"/>
    </row>
    <row r="322" spans="1:6" ht="18">
      <c r="A322" s="86"/>
      <c r="B322" s="8" t="s">
        <v>33</v>
      </c>
      <c r="C322" s="9"/>
      <c r="D322" s="133"/>
      <c r="E322" s="133"/>
      <c r="F322" s="155"/>
    </row>
    <row r="323" spans="1:6" ht="18">
      <c r="A323" s="86"/>
      <c r="B323" s="13" t="s">
        <v>34</v>
      </c>
      <c r="C323" s="9" t="s">
        <v>21</v>
      </c>
      <c r="D323" s="118">
        <f>D317/2</f>
        <v>0.5</v>
      </c>
      <c r="E323" s="133">
        <v>10760</v>
      </c>
      <c r="F323" s="155">
        <f>+D323*E323</f>
        <v>5380</v>
      </c>
    </row>
    <row r="324" spans="1:6" ht="19.5">
      <c r="A324" s="87"/>
      <c r="B324" s="13" t="s">
        <v>7</v>
      </c>
      <c r="C324" s="9" t="s">
        <v>21</v>
      </c>
      <c r="D324" s="118">
        <f>+D323*4</f>
        <v>2</v>
      </c>
      <c r="E324" s="133">
        <v>4000</v>
      </c>
      <c r="F324" s="155">
        <f>+D324*E324</f>
        <v>8000</v>
      </c>
    </row>
    <row r="325" spans="1:6" ht="16.5">
      <c r="A325" s="317"/>
      <c r="B325" s="318" t="s">
        <v>39</v>
      </c>
      <c r="C325" s="244"/>
      <c r="D325" s="197"/>
      <c r="E325" s="197"/>
      <c r="F325" s="198">
        <f>SUM(F323:F324)</f>
        <v>13380</v>
      </c>
    </row>
    <row r="326" spans="1:6" s="352" customFormat="1" ht="36.5">
      <c r="A326" s="353"/>
      <c r="B326" s="490" t="s">
        <v>179</v>
      </c>
      <c r="C326" s="490"/>
      <c r="D326" s="490"/>
      <c r="E326" s="490"/>
      <c r="F326" s="354">
        <f>F317+F306+F288+F275+F259+F247+F235+F216+F196+F182+F171+F160+F147+F136+F125+F112+F100+F89+F78+F58+F40+F30+F22+F14+F7+F3</f>
        <v>9014016.946953889</v>
      </c>
    </row>
  </sheetData>
  <mergeCells count="15">
    <mergeCell ref="B305:F305"/>
    <mergeCell ref="B316:F316"/>
    <mergeCell ref="B326:E326"/>
    <mergeCell ref="B2:F2"/>
    <mergeCell ref="B13:F13"/>
    <mergeCell ref="B39:F39"/>
    <mergeCell ref="B77:F77"/>
    <mergeCell ref="B124:F124"/>
    <mergeCell ref="B287:F287"/>
    <mergeCell ref="B274:F274"/>
    <mergeCell ref="B246:F246"/>
    <mergeCell ref="B159:F159"/>
    <mergeCell ref="B181:F181"/>
    <mergeCell ref="B195:F195"/>
    <mergeCell ref="B215:F2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5"/>
  <sheetViews>
    <sheetView workbookViewId="0">
      <selection activeCell="C5" sqref="C5"/>
    </sheetView>
  </sheetViews>
  <sheetFormatPr defaultColWidth="8.90625" defaultRowHeight="15.5"/>
  <cols>
    <col min="1" max="1" width="8.90625" style="232"/>
    <col min="2" max="2" width="64.90625" style="107" customWidth="1"/>
    <col min="3" max="3" width="8.90625" style="110"/>
    <col min="4" max="4" width="16.90625" style="145" customWidth="1"/>
    <col min="5" max="5" width="22.36328125" style="145" customWidth="1"/>
    <col min="6" max="6" width="28" style="285" customWidth="1"/>
  </cols>
  <sheetData>
    <row r="1" spans="1:6" s="110" customFormat="1" ht="40.65" customHeight="1">
      <c r="A1" s="228"/>
      <c r="B1" s="150" t="s">
        <v>120</v>
      </c>
      <c r="C1" s="150" t="s">
        <v>121</v>
      </c>
      <c r="D1" s="150" t="s">
        <v>122</v>
      </c>
      <c r="E1" s="150" t="s">
        <v>123</v>
      </c>
      <c r="F1" s="305" t="s">
        <v>124</v>
      </c>
    </row>
    <row r="2" spans="1:6" ht="19.399999999999999" customHeight="1">
      <c r="A2" s="151">
        <v>1</v>
      </c>
      <c r="B2" s="478" t="s">
        <v>93</v>
      </c>
      <c r="C2" s="478"/>
      <c r="D2" s="478"/>
      <c r="E2" s="478"/>
      <c r="F2" s="479"/>
    </row>
    <row r="3" spans="1:6" ht="18.649999999999999" customHeight="1">
      <c r="A3" s="199">
        <v>1.01</v>
      </c>
      <c r="B3" s="16" t="s">
        <v>94</v>
      </c>
      <c r="C3" s="35" t="s">
        <v>28</v>
      </c>
      <c r="D3" s="125">
        <f>27.6*0.8*0.4</f>
        <v>8.8320000000000007</v>
      </c>
      <c r="E3" s="138">
        <f>SUM(F3)/D3</f>
        <v>4444.4444444444443</v>
      </c>
      <c r="F3" s="153">
        <f>F6</f>
        <v>39253.333333333336</v>
      </c>
    </row>
    <row r="4" spans="1:6" ht="18.649999999999999" customHeight="1">
      <c r="A4" s="200"/>
      <c r="B4" s="8" t="s">
        <v>6</v>
      </c>
      <c r="C4" s="9"/>
      <c r="D4" s="114"/>
      <c r="E4" s="133"/>
      <c r="F4" s="155"/>
    </row>
    <row r="5" spans="1:6" ht="18.649999999999999" customHeight="1">
      <c r="A5" s="200"/>
      <c r="B5" s="13" t="s">
        <v>7</v>
      </c>
      <c r="C5" s="9" t="s">
        <v>8</v>
      </c>
      <c r="D5" s="118">
        <f>D3/0.9</f>
        <v>9.8133333333333344</v>
      </c>
      <c r="E5" s="133">
        <v>4000</v>
      </c>
      <c r="F5" s="155">
        <f>+D5*E5</f>
        <v>39253.333333333336</v>
      </c>
    </row>
    <row r="6" spans="1:6" ht="18.649999999999999" customHeight="1">
      <c r="A6" s="174"/>
      <c r="B6" s="60" t="s">
        <v>9</v>
      </c>
      <c r="C6" s="61"/>
      <c r="D6" s="120"/>
      <c r="E6" s="143"/>
      <c r="F6" s="290">
        <f>F5</f>
        <v>39253.333333333336</v>
      </c>
    </row>
    <row r="7" spans="1:6" ht="18.649999999999999" customHeight="1">
      <c r="A7" s="199">
        <v>1.03</v>
      </c>
      <c r="B7" s="16" t="s">
        <v>114</v>
      </c>
      <c r="C7" s="35" t="s">
        <v>28</v>
      </c>
      <c r="D7" s="131">
        <f>(0.75*0.75*1.25)*4</f>
        <v>2.8125</v>
      </c>
      <c r="E7" s="138">
        <f>SUM(F7)/D7</f>
        <v>5640</v>
      </c>
      <c r="F7" s="153">
        <f>F11</f>
        <v>15862.5</v>
      </c>
    </row>
    <row r="8" spans="1:6" ht="18.649999999999999" customHeight="1">
      <c r="A8" s="200"/>
      <c r="B8" s="8" t="s">
        <v>6</v>
      </c>
      <c r="C8" s="9"/>
      <c r="D8" s="118"/>
      <c r="E8" s="133"/>
      <c r="F8" s="155"/>
    </row>
    <row r="9" spans="1:6" ht="18.649999999999999" customHeight="1">
      <c r="A9" s="200"/>
      <c r="B9" s="13" t="s">
        <v>92</v>
      </c>
      <c r="C9" s="9" t="s">
        <v>8</v>
      </c>
      <c r="D9" s="118">
        <f>D10/10</f>
        <v>0.3125</v>
      </c>
      <c r="E9" s="133">
        <v>10760</v>
      </c>
      <c r="F9" s="155">
        <f>D9*E9</f>
        <v>3362.5</v>
      </c>
    </row>
    <row r="10" spans="1:6" ht="18.649999999999999" customHeight="1">
      <c r="A10" s="200"/>
      <c r="B10" s="13" t="s">
        <v>7</v>
      </c>
      <c r="C10" s="9" t="s">
        <v>8</v>
      </c>
      <c r="D10" s="118">
        <f>D7/0.9</f>
        <v>3.125</v>
      </c>
      <c r="E10" s="133">
        <v>4000</v>
      </c>
      <c r="F10" s="155">
        <f>+D10*E10</f>
        <v>12500</v>
      </c>
    </row>
    <row r="11" spans="1:6" ht="18.649999999999999" customHeight="1">
      <c r="A11" s="174"/>
      <c r="B11" s="60" t="s">
        <v>9</v>
      </c>
      <c r="C11" s="61"/>
      <c r="D11" s="115"/>
      <c r="E11" s="143"/>
      <c r="F11" s="290">
        <f>SUM(F9:F10)</f>
        <v>15862.5</v>
      </c>
    </row>
    <row r="12" spans="1:6" ht="18.649999999999999" customHeight="1">
      <c r="A12" s="201"/>
      <c r="B12" s="60"/>
      <c r="C12" s="44"/>
      <c r="D12" s="116"/>
      <c r="E12" s="144"/>
      <c r="F12" s="291"/>
    </row>
    <row r="13" spans="1:6" ht="34.65" customHeight="1">
      <c r="A13" s="158">
        <v>2</v>
      </c>
      <c r="B13" s="480" t="s">
        <v>0</v>
      </c>
      <c r="C13" s="480"/>
      <c r="D13" s="480"/>
      <c r="E13" s="480"/>
      <c r="F13" s="481"/>
    </row>
    <row r="14" spans="1:6" ht="18.649999999999999" customHeight="1">
      <c r="A14" s="202">
        <v>2.0099999999999998</v>
      </c>
      <c r="B14" s="2" t="s">
        <v>71</v>
      </c>
      <c r="C14" s="3" t="s">
        <v>1</v>
      </c>
      <c r="D14" s="117">
        <f>27.6*0.4</f>
        <v>11.040000000000001</v>
      </c>
      <c r="E14" s="134">
        <f>F14/D14</f>
        <v>1066.6666666666667</v>
      </c>
      <c r="F14" s="160">
        <f>F16+F20</f>
        <v>11776.000000000002</v>
      </c>
    </row>
    <row r="15" spans="1:6" ht="18.649999999999999" customHeight="1">
      <c r="A15" s="200"/>
      <c r="B15" s="8" t="s">
        <v>2</v>
      </c>
      <c r="C15" s="9"/>
      <c r="D15" s="118"/>
      <c r="E15" s="133"/>
      <c r="F15" s="155"/>
    </row>
    <row r="16" spans="1:6" ht="18.649999999999999" customHeight="1">
      <c r="A16" s="200"/>
      <c r="B16" s="48" t="s">
        <v>3</v>
      </c>
      <c r="C16" s="9" t="s">
        <v>4</v>
      </c>
      <c r="D16" s="118">
        <f>D14/10</f>
        <v>1.1040000000000001</v>
      </c>
      <c r="E16" s="133">
        <v>10000</v>
      </c>
      <c r="F16" s="155">
        <f>D16*E16</f>
        <v>11040.000000000002</v>
      </c>
    </row>
    <row r="17" spans="1:6" ht="18.649999999999999" customHeight="1">
      <c r="A17" s="170"/>
      <c r="B17" s="60" t="s">
        <v>5</v>
      </c>
      <c r="C17" s="12"/>
      <c r="D17" s="121"/>
      <c r="E17" s="135"/>
      <c r="F17" s="162">
        <f>SUM(F16)</f>
        <v>11040.000000000002</v>
      </c>
    </row>
    <row r="18" spans="1:6" ht="18.649999999999999" customHeight="1">
      <c r="A18" s="200"/>
      <c r="B18" s="48"/>
      <c r="C18" s="9"/>
      <c r="D18" s="118"/>
      <c r="E18" s="133"/>
      <c r="F18" s="155"/>
    </row>
    <row r="19" spans="1:6" ht="18.649999999999999" customHeight="1">
      <c r="A19" s="200"/>
      <c r="B19" s="8" t="s">
        <v>6</v>
      </c>
      <c r="C19" s="9"/>
      <c r="D19" s="118"/>
      <c r="E19" s="133"/>
      <c r="F19" s="155"/>
    </row>
    <row r="20" spans="1:6" ht="18.649999999999999" customHeight="1">
      <c r="A20" s="200"/>
      <c r="B20" s="13" t="s">
        <v>7</v>
      </c>
      <c r="C20" s="9" t="s">
        <v>8</v>
      </c>
      <c r="D20" s="118">
        <f>D14/60</f>
        <v>0.18400000000000002</v>
      </c>
      <c r="E20" s="133">
        <v>4000</v>
      </c>
      <c r="F20" s="155">
        <f>D20*E20</f>
        <v>736.00000000000011</v>
      </c>
    </row>
    <row r="21" spans="1:6" ht="18.649999999999999" customHeight="1">
      <c r="A21" s="174"/>
      <c r="B21" s="60" t="s">
        <v>9</v>
      </c>
      <c r="C21" s="61"/>
      <c r="D21" s="120"/>
      <c r="E21" s="143"/>
      <c r="F21" s="290">
        <f>F20</f>
        <v>736.00000000000011</v>
      </c>
    </row>
    <row r="22" spans="1:6" ht="18.649999999999999" customHeight="1">
      <c r="A22" s="202">
        <v>2.02</v>
      </c>
      <c r="B22" s="2" t="s">
        <v>97</v>
      </c>
      <c r="C22" s="3" t="s">
        <v>1</v>
      </c>
      <c r="D22" s="117">
        <v>46.8</v>
      </c>
      <c r="E22" s="134">
        <f>F22/D22</f>
        <v>1066.6666666666667</v>
      </c>
      <c r="F22" s="160">
        <f>F24+F28</f>
        <v>49920</v>
      </c>
    </row>
    <row r="23" spans="1:6" ht="18.649999999999999" customHeight="1">
      <c r="A23" s="200"/>
      <c r="B23" s="8" t="s">
        <v>2</v>
      </c>
      <c r="C23" s="9"/>
      <c r="D23" s="118"/>
      <c r="E23" s="133"/>
      <c r="F23" s="155"/>
    </row>
    <row r="24" spans="1:6" ht="18.649999999999999" customHeight="1">
      <c r="A24" s="200"/>
      <c r="B24" s="48" t="s">
        <v>3</v>
      </c>
      <c r="C24" s="9" t="s">
        <v>4</v>
      </c>
      <c r="D24" s="118">
        <f>D22/10</f>
        <v>4.68</v>
      </c>
      <c r="E24" s="133">
        <v>10000</v>
      </c>
      <c r="F24" s="155">
        <f>D24*E24</f>
        <v>46800</v>
      </c>
    </row>
    <row r="25" spans="1:6" ht="18.649999999999999" customHeight="1">
      <c r="A25" s="170"/>
      <c r="B25" s="60" t="s">
        <v>5</v>
      </c>
      <c r="C25" s="12"/>
      <c r="D25" s="121"/>
      <c r="E25" s="135"/>
      <c r="F25" s="162">
        <f>SUM(F24)</f>
        <v>46800</v>
      </c>
    </row>
    <row r="26" spans="1:6" ht="18.649999999999999" customHeight="1">
      <c r="A26" s="200"/>
      <c r="B26" s="48"/>
      <c r="C26" s="9"/>
      <c r="D26" s="118"/>
      <c r="E26" s="133"/>
      <c r="F26" s="155"/>
    </row>
    <row r="27" spans="1:6" ht="18.649999999999999" customHeight="1">
      <c r="A27" s="200"/>
      <c r="B27" s="8" t="s">
        <v>6</v>
      </c>
      <c r="C27" s="9"/>
      <c r="D27" s="118"/>
      <c r="E27" s="133"/>
      <c r="F27" s="155"/>
    </row>
    <row r="28" spans="1:6" ht="18.649999999999999" customHeight="1">
      <c r="A28" s="200"/>
      <c r="B28" s="13" t="s">
        <v>7</v>
      </c>
      <c r="C28" s="9" t="s">
        <v>8</v>
      </c>
      <c r="D28" s="118">
        <f>D22/60</f>
        <v>0.77999999999999992</v>
      </c>
      <c r="E28" s="133">
        <v>4000</v>
      </c>
      <c r="F28" s="155">
        <f>D28*E28</f>
        <v>3119.9999999999995</v>
      </c>
    </row>
    <row r="29" spans="1:6" ht="18.649999999999999" customHeight="1">
      <c r="A29" s="174"/>
      <c r="B29" s="60" t="s">
        <v>9</v>
      </c>
      <c r="C29" s="61"/>
      <c r="D29" s="120"/>
      <c r="E29" s="143"/>
      <c r="F29" s="290">
        <f>F28</f>
        <v>3119.9999999999995</v>
      </c>
    </row>
    <row r="30" spans="1:6" ht="18.649999999999999" customHeight="1">
      <c r="A30" s="199">
        <v>2.0299999999999998</v>
      </c>
      <c r="B30" s="16" t="s">
        <v>96</v>
      </c>
      <c r="C30" s="35" t="s">
        <v>1</v>
      </c>
      <c r="D30" s="125">
        <f>(0.75*0.75)*4</f>
        <v>2.25</v>
      </c>
      <c r="E30" s="138">
        <f>SUM(F30)/D30</f>
        <v>1066.6666666666667</v>
      </c>
      <c r="F30" s="153">
        <f>F33+F37</f>
        <v>2400</v>
      </c>
    </row>
    <row r="31" spans="1:6" ht="18.649999999999999" customHeight="1">
      <c r="A31" s="200"/>
      <c r="B31" s="8" t="s">
        <v>2</v>
      </c>
      <c r="C31" s="9"/>
      <c r="D31" s="118"/>
      <c r="E31" s="133"/>
      <c r="F31" s="155"/>
    </row>
    <row r="32" spans="1:6" ht="18.649999999999999" customHeight="1">
      <c r="A32" s="200"/>
      <c r="B32" s="48" t="s">
        <v>3</v>
      </c>
      <c r="C32" s="9" t="s">
        <v>4</v>
      </c>
      <c r="D32" s="118">
        <f>D30/10</f>
        <v>0.22500000000000001</v>
      </c>
      <c r="E32" s="133">
        <v>10000</v>
      </c>
      <c r="F32" s="155">
        <f>D32*E32</f>
        <v>2250</v>
      </c>
    </row>
    <row r="33" spans="1:6" ht="18.649999999999999" customHeight="1">
      <c r="A33" s="170"/>
      <c r="B33" s="60" t="s">
        <v>5</v>
      </c>
      <c r="C33" s="12"/>
      <c r="D33" s="121"/>
      <c r="E33" s="135"/>
      <c r="F33" s="162">
        <f>SUM(F32)</f>
        <v>2250</v>
      </c>
    </row>
    <row r="34" spans="1:6" ht="18.649999999999999" customHeight="1">
      <c r="A34" s="170"/>
      <c r="B34" s="60"/>
      <c r="C34" s="12"/>
      <c r="D34" s="121"/>
      <c r="E34" s="135"/>
      <c r="F34" s="162"/>
    </row>
    <row r="35" spans="1:6" ht="18.649999999999999" customHeight="1">
      <c r="A35" s="200"/>
      <c r="B35" s="8" t="s">
        <v>6</v>
      </c>
      <c r="C35" s="9"/>
      <c r="D35" s="118"/>
      <c r="E35" s="133"/>
      <c r="F35" s="155"/>
    </row>
    <row r="36" spans="1:6" ht="18.649999999999999" customHeight="1">
      <c r="A36" s="200"/>
      <c r="B36" s="13" t="s">
        <v>7</v>
      </c>
      <c r="C36" s="9" t="s">
        <v>8</v>
      </c>
      <c r="D36" s="118">
        <f>D30/60</f>
        <v>3.7499999999999999E-2</v>
      </c>
      <c r="E36" s="133">
        <v>4000</v>
      </c>
      <c r="F36" s="155">
        <f>+D36*E36</f>
        <v>150</v>
      </c>
    </row>
    <row r="37" spans="1:6" ht="18.649999999999999" customHeight="1">
      <c r="A37" s="174"/>
      <c r="B37" s="60" t="s">
        <v>9</v>
      </c>
      <c r="C37" s="61"/>
      <c r="D37" s="120"/>
      <c r="E37" s="143"/>
      <c r="F37" s="290">
        <f>SUM(F36:F36)</f>
        <v>150</v>
      </c>
    </row>
    <row r="38" spans="1:6" ht="18.649999999999999" customHeight="1">
      <c r="A38" s="174"/>
      <c r="B38" s="60"/>
      <c r="C38" s="61"/>
      <c r="D38" s="115"/>
      <c r="E38" s="143"/>
      <c r="F38" s="290"/>
    </row>
    <row r="39" spans="1:6" ht="18.649999999999999" customHeight="1">
      <c r="A39" s="163">
        <v>3</v>
      </c>
      <c r="B39" s="482" t="s">
        <v>77</v>
      </c>
      <c r="C39" s="482"/>
      <c r="D39" s="482"/>
      <c r="E39" s="482"/>
      <c r="F39" s="483"/>
    </row>
    <row r="40" spans="1:6" ht="18.649999999999999" customHeight="1">
      <c r="A40" s="199">
        <v>3.01</v>
      </c>
      <c r="B40" s="16" t="s">
        <v>71</v>
      </c>
      <c r="C40" s="3" t="s">
        <v>1</v>
      </c>
      <c r="D40" s="117">
        <f>27.6*0.4</f>
        <v>11.040000000000001</v>
      </c>
      <c r="E40" s="134">
        <f>SUM(F40)/D40</f>
        <v>5296.1648205128213</v>
      </c>
      <c r="F40" s="160">
        <f>F47+F51+F57</f>
        <v>58469.659618461548</v>
      </c>
    </row>
    <row r="41" spans="1:6" ht="18.649999999999999" customHeight="1">
      <c r="A41" s="203"/>
      <c r="B41" s="19"/>
      <c r="C41" s="20" t="s">
        <v>10</v>
      </c>
      <c r="D41" s="137">
        <f>D40*0.05</f>
        <v>0.55200000000000005</v>
      </c>
      <c r="E41" s="136"/>
      <c r="F41" s="165"/>
    </row>
    <row r="42" spans="1:6" ht="18.649999999999999" customHeight="1">
      <c r="A42" s="204"/>
      <c r="B42" s="97" t="s">
        <v>2</v>
      </c>
      <c r="C42" s="23"/>
      <c r="D42" s="118"/>
      <c r="E42" s="118"/>
      <c r="F42" s="292"/>
    </row>
    <row r="43" spans="1:6" ht="18.649999999999999" customHeight="1">
      <c r="A43" s="204"/>
      <c r="B43" s="98" t="s">
        <v>11</v>
      </c>
      <c r="C43" s="23" t="s">
        <v>12</v>
      </c>
      <c r="D43" s="118">
        <f>D41*(1/13)*1.57*(1440/50)</f>
        <v>1.9199409230769233</v>
      </c>
      <c r="E43" s="118">
        <v>12000</v>
      </c>
      <c r="F43" s="292">
        <f>D43*E43</f>
        <v>23039.29107692308</v>
      </c>
    </row>
    <row r="44" spans="1:6" ht="18.649999999999999" customHeight="1">
      <c r="A44" s="204"/>
      <c r="B44" s="98" t="s">
        <v>13</v>
      </c>
      <c r="C44" s="23" t="s">
        <v>10</v>
      </c>
      <c r="D44" s="118">
        <f>D41*(4/13)*1.57</f>
        <v>0.26665846153846157</v>
      </c>
      <c r="E44" s="118">
        <v>25000</v>
      </c>
      <c r="F44" s="292">
        <f>D44*E44</f>
        <v>6666.461538461539</v>
      </c>
    </row>
    <row r="45" spans="1:6" ht="18.649999999999999" customHeight="1">
      <c r="A45" s="204"/>
      <c r="B45" s="98" t="s">
        <v>14</v>
      </c>
      <c r="C45" s="23" t="s">
        <v>10</v>
      </c>
      <c r="D45" s="118">
        <f>D41*(8/13)*1.57</f>
        <v>0.53331692307692313</v>
      </c>
      <c r="E45" s="118">
        <v>27000</v>
      </c>
      <c r="F45" s="292">
        <f>D45*E45</f>
        <v>14399.556923076925</v>
      </c>
    </row>
    <row r="46" spans="1:6" ht="18.649999999999999" customHeight="1">
      <c r="A46" s="204"/>
      <c r="B46" s="98" t="s">
        <v>15</v>
      </c>
      <c r="C46" s="23" t="s">
        <v>16</v>
      </c>
      <c r="D46" s="118">
        <f>D50*10</f>
        <v>0.92000000000000015</v>
      </c>
      <c r="E46" s="118">
        <v>1587</v>
      </c>
      <c r="F46" s="292">
        <f>D46*E46</f>
        <v>1460.0400000000002</v>
      </c>
    </row>
    <row r="47" spans="1:6" ht="18.649999999999999" customHeight="1">
      <c r="A47" s="168"/>
      <c r="B47" s="97" t="s">
        <v>18</v>
      </c>
      <c r="C47" s="28"/>
      <c r="D47" s="121"/>
      <c r="E47" s="121"/>
      <c r="F47" s="293">
        <f>SUM(F43:F46)</f>
        <v>45565.349538461545</v>
      </c>
    </row>
    <row r="48" spans="1:6" ht="18.649999999999999" customHeight="1">
      <c r="A48" s="204"/>
      <c r="B48" s="98"/>
      <c r="C48" s="23"/>
      <c r="D48" s="118"/>
      <c r="E48" s="118"/>
      <c r="F48" s="292"/>
    </row>
    <row r="49" spans="1:6" ht="18.649999999999999" customHeight="1">
      <c r="A49" s="204"/>
      <c r="B49" s="97" t="s">
        <v>19</v>
      </c>
      <c r="C49" s="23"/>
      <c r="D49" s="118"/>
      <c r="E49" s="118"/>
      <c r="F49" s="292"/>
    </row>
    <row r="50" spans="1:6" ht="18.649999999999999" customHeight="1">
      <c r="A50" s="204"/>
      <c r="B50" s="98" t="s">
        <v>20</v>
      </c>
      <c r="C50" s="23" t="s">
        <v>21</v>
      </c>
      <c r="D50" s="118">
        <f>D41/6</f>
        <v>9.2000000000000012E-2</v>
      </c>
      <c r="E50" s="118">
        <v>50000</v>
      </c>
      <c r="F50" s="292">
        <f>D50*E50</f>
        <v>4600.0000000000009</v>
      </c>
    </row>
    <row r="51" spans="1:6" ht="18.649999999999999" customHeight="1">
      <c r="A51" s="168"/>
      <c r="B51" s="97" t="s">
        <v>23</v>
      </c>
      <c r="C51" s="28"/>
      <c r="D51" s="121"/>
      <c r="E51" s="121"/>
      <c r="F51" s="293">
        <f>SUM(F50:F50)</f>
        <v>4600.0000000000009</v>
      </c>
    </row>
    <row r="52" spans="1:6" ht="18.649999999999999" customHeight="1">
      <c r="A52" s="204"/>
      <c r="B52" s="98"/>
      <c r="C52" s="23"/>
      <c r="D52" s="118"/>
      <c r="E52" s="118"/>
      <c r="F52" s="292"/>
    </row>
    <row r="53" spans="1:6" ht="18.649999999999999" customHeight="1">
      <c r="A53" s="204"/>
      <c r="B53" s="97" t="s">
        <v>6</v>
      </c>
      <c r="C53" s="23"/>
      <c r="D53" s="118"/>
      <c r="E53" s="118"/>
      <c r="F53" s="292"/>
    </row>
    <row r="54" spans="1:6" ht="18.649999999999999" customHeight="1">
      <c r="A54" s="204"/>
      <c r="B54" s="98" t="s">
        <v>24</v>
      </c>
      <c r="C54" s="23" t="s">
        <v>21</v>
      </c>
      <c r="D54" s="118">
        <f>(D41/6)*2</f>
        <v>0.18400000000000002</v>
      </c>
      <c r="E54" s="133">
        <v>6088.08</v>
      </c>
      <c r="F54" s="292">
        <f>D54*E54</f>
        <v>1120.2067200000001</v>
      </c>
    </row>
    <row r="55" spans="1:6" ht="18.649999999999999" customHeight="1">
      <c r="A55" s="204"/>
      <c r="B55" s="98" t="s">
        <v>25</v>
      </c>
      <c r="C55" s="23" t="s">
        <v>21</v>
      </c>
      <c r="D55" s="118">
        <f>(D41/6)*18</f>
        <v>1.6560000000000001</v>
      </c>
      <c r="E55" s="133">
        <v>4000</v>
      </c>
      <c r="F55" s="292">
        <f>D55*E55</f>
        <v>6624.0000000000009</v>
      </c>
    </row>
    <row r="56" spans="1:6" ht="18.649999999999999" customHeight="1">
      <c r="A56" s="204"/>
      <c r="B56" s="98" t="s">
        <v>26</v>
      </c>
      <c r="C56" s="23" t="s">
        <v>21</v>
      </c>
      <c r="D56" s="118">
        <f>D50</f>
        <v>9.2000000000000012E-2</v>
      </c>
      <c r="E56" s="133">
        <v>6088.08</v>
      </c>
      <c r="F56" s="292">
        <f>D56*E56</f>
        <v>560.10336000000007</v>
      </c>
    </row>
    <row r="57" spans="1:6" ht="18.649999999999999" customHeight="1">
      <c r="A57" s="168"/>
      <c r="B57" s="97" t="s">
        <v>27</v>
      </c>
      <c r="C57" s="28"/>
      <c r="D57" s="121"/>
      <c r="E57" s="121"/>
      <c r="F57" s="293">
        <f>SUM(F54:F56)</f>
        <v>8304.3100800000011</v>
      </c>
    </row>
    <row r="58" spans="1:6" ht="18.649999999999999" customHeight="1">
      <c r="A58" s="199">
        <v>3.02</v>
      </c>
      <c r="B58" s="16" t="s">
        <v>98</v>
      </c>
      <c r="C58" s="3" t="s">
        <v>1</v>
      </c>
      <c r="D58" s="117">
        <f>(0.75*0.75)*4</f>
        <v>2.25</v>
      </c>
      <c r="E58" s="134">
        <f>SUM(F58)/D58</f>
        <v>5296.1648205128204</v>
      </c>
      <c r="F58" s="160">
        <f>F65+F69+F75</f>
        <v>11916.370846153846</v>
      </c>
    </row>
    <row r="59" spans="1:6" ht="18.649999999999999" customHeight="1">
      <c r="A59" s="203"/>
      <c r="B59" s="19"/>
      <c r="C59" s="20" t="s">
        <v>10</v>
      </c>
      <c r="D59" s="137">
        <f>D58*0.05</f>
        <v>0.1125</v>
      </c>
      <c r="E59" s="136"/>
      <c r="F59" s="165"/>
    </row>
    <row r="60" spans="1:6" ht="18.649999999999999" customHeight="1">
      <c r="A60" s="204"/>
      <c r="B60" s="97" t="s">
        <v>2</v>
      </c>
      <c r="C60" s="23"/>
      <c r="D60" s="118"/>
      <c r="E60" s="118"/>
      <c r="F60" s="292"/>
    </row>
    <row r="61" spans="1:6" ht="18.649999999999999" customHeight="1">
      <c r="A61" s="204"/>
      <c r="B61" s="98" t="s">
        <v>11</v>
      </c>
      <c r="C61" s="23" t="s">
        <v>12</v>
      </c>
      <c r="D61" s="118">
        <f>D59*(1/13)*1.57*(1440/50)</f>
        <v>0.39129230769230772</v>
      </c>
      <c r="E61" s="118">
        <v>12000</v>
      </c>
      <c r="F61" s="292">
        <f>D61*E61</f>
        <v>4695.5076923076922</v>
      </c>
    </row>
    <row r="62" spans="1:6" ht="18.649999999999999" customHeight="1">
      <c r="A62" s="204"/>
      <c r="B62" s="98" t="s">
        <v>13</v>
      </c>
      <c r="C62" s="23" t="s">
        <v>10</v>
      </c>
      <c r="D62" s="118">
        <f>D59*(4/13)*1.57</f>
        <v>5.434615384615385E-2</v>
      </c>
      <c r="E62" s="118">
        <v>25000</v>
      </c>
      <c r="F62" s="292">
        <f>D62*E62</f>
        <v>1358.6538461538462</v>
      </c>
    </row>
    <row r="63" spans="1:6" ht="18.649999999999999" customHeight="1">
      <c r="A63" s="204"/>
      <c r="B63" s="98" t="s">
        <v>14</v>
      </c>
      <c r="C63" s="23" t="s">
        <v>10</v>
      </c>
      <c r="D63" s="118">
        <f>D59*(8/13)*1.57</f>
        <v>0.1086923076923077</v>
      </c>
      <c r="E63" s="118">
        <v>27000</v>
      </c>
      <c r="F63" s="292">
        <f>D63*E63</f>
        <v>2934.6923076923081</v>
      </c>
    </row>
    <row r="64" spans="1:6" ht="18.649999999999999" customHeight="1">
      <c r="A64" s="204"/>
      <c r="B64" s="98" t="s">
        <v>15</v>
      </c>
      <c r="C64" s="23" t="s">
        <v>16</v>
      </c>
      <c r="D64" s="118">
        <f>D68*10</f>
        <v>0.1875</v>
      </c>
      <c r="E64" s="118">
        <v>1587</v>
      </c>
      <c r="F64" s="292">
        <f>D64*E64</f>
        <v>297.5625</v>
      </c>
    </row>
    <row r="65" spans="1:6" ht="18.649999999999999" customHeight="1">
      <c r="A65" s="168"/>
      <c r="B65" s="97" t="s">
        <v>18</v>
      </c>
      <c r="C65" s="28"/>
      <c r="D65" s="121"/>
      <c r="E65" s="121"/>
      <c r="F65" s="293">
        <f>SUM(F61:F64)</f>
        <v>9286.4163461538465</v>
      </c>
    </row>
    <row r="66" spans="1:6" ht="18.649999999999999" customHeight="1">
      <c r="A66" s="204"/>
      <c r="B66" s="98"/>
      <c r="C66" s="23"/>
      <c r="D66" s="118"/>
      <c r="E66" s="118"/>
      <c r="F66" s="292"/>
    </row>
    <row r="67" spans="1:6" ht="18.649999999999999" customHeight="1">
      <c r="A67" s="204"/>
      <c r="B67" s="97" t="s">
        <v>19</v>
      </c>
      <c r="C67" s="23"/>
      <c r="D67" s="118"/>
      <c r="E67" s="118"/>
      <c r="F67" s="292"/>
    </row>
    <row r="68" spans="1:6" ht="18.649999999999999" customHeight="1">
      <c r="A68" s="204"/>
      <c r="B68" s="98" t="s">
        <v>20</v>
      </c>
      <c r="C68" s="23" t="s">
        <v>21</v>
      </c>
      <c r="D68" s="118">
        <f>D59/6</f>
        <v>1.8749999999999999E-2</v>
      </c>
      <c r="E68" s="118">
        <v>50000</v>
      </c>
      <c r="F68" s="292">
        <f>D68*E68</f>
        <v>937.5</v>
      </c>
    </row>
    <row r="69" spans="1:6" ht="18.649999999999999" customHeight="1">
      <c r="A69" s="168"/>
      <c r="B69" s="97" t="s">
        <v>23</v>
      </c>
      <c r="C69" s="28"/>
      <c r="D69" s="121"/>
      <c r="E69" s="121"/>
      <c r="F69" s="293">
        <f>SUM(F68:F68)</f>
        <v>937.5</v>
      </c>
    </row>
    <row r="70" spans="1:6" ht="18.649999999999999" customHeight="1">
      <c r="A70" s="204"/>
      <c r="B70" s="98"/>
      <c r="C70" s="23"/>
      <c r="D70" s="118"/>
      <c r="E70" s="118"/>
      <c r="F70" s="292"/>
    </row>
    <row r="71" spans="1:6" ht="18.649999999999999" customHeight="1">
      <c r="A71" s="204"/>
      <c r="B71" s="97" t="s">
        <v>6</v>
      </c>
      <c r="C71" s="23"/>
      <c r="D71" s="118"/>
      <c r="E71" s="118"/>
      <c r="F71" s="292"/>
    </row>
    <row r="72" spans="1:6" ht="18.649999999999999" customHeight="1">
      <c r="A72" s="204"/>
      <c r="B72" s="98" t="s">
        <v>24</v>
      </c>
      <c r="C72" s="23" t="s">
        <v>21</v>
      </c>
      <c r="D72" s="118">
        <f>(D59/6)*2</f>
        <v>3.7499999999999999E-2</v>
      </c>
      <c r="E72" s="133">
        <v>6088.08</v>
      </c>
      <c r="F72" s="292">
        <f>D72*E72</f>
        <v>228.303</v>
      </c>
    </row>
    <row r="73" spans="1:6" ht="18.649999999999999" customHeight="1">
      <c r="A73" s="204"/>
      <c r="B73" s="98" t="s">
        <v>25</v>
      </c>
      <c r="C73" s="23" t="s">
        <v>21</v>
      </c>
      <c r="D73" s="118">
        <f>(D59/6)*18</f>
        <v>0.33749999999999997</v>
      </c>
      <c r="E73" s="133">
        <v>4000</v>
      </c>
      <c r="F73" s="292">
        <f>D73*E73</f>
        <v>1349.9999999999998</v>
      </c>
    </row>
    <row r="74" spans="1:6" ht="18.649999999999999" customHeight="1">
      <c r="A74" s="204"/>
      <c r="B74" s="98" t="s">
        <v>26</v>
      </c>
      <c r="C74" s="23" t="s">
        <v>21</v>
      </c>
      <c r="D74" s="118">
        <f>D68</f>
        <v>1.8749999999999999E-2</v>
      </c>
      <c r="E74" s="133">
        <v>6088.08</v>
      </c>
      <c r="F74" s="292">
        <f>D74*E74</f>
        <v>114.1515</v>
      </c>
    </row>
    <row r="75" spans="1:6" ht="18.649999999999999" customHeight="1">
      <c r="A75" s="168"/>
      <c r="B75" s="97" t="s">
        <v>27</v>
      </c>
      <c r="C75" s="28"/>
      <c r="D75" s="121"/>
      <c r="E75" s="121"/>
      <c r="F75" s="293">
        <f>SUM(F72:F74)</f>
        <v>1692.4544999999998</v>
      </c>
    </row>
    <row r="76" spans="1:6" ht="18.649999999999999" customHeight="1">
      <c r="A76" s="168"/>
      <c r="B76" s="97"/>
      <c r="C76" s="28"/>
      <c r="D76" s="121"/>
      <c r="E76" s="121"/>
      <c r="F76" s="293"/>
    </row>
    <row r="77" spans="1:6" ht="18.649999999999999" customHeight="1">
      <c r="A77" s="168">
        <v>4</v>
      </c>
      <c r="B77" s="484" t="s">
        <v>82</v>
      </c>
      <c r="C77" s="484"/>
      <c r="D77" s="484"/>
      <c r="E77" s="484"/>
      <c r="F77" s="485"/>
    </row>
    <row r="78" spans="1:6" ht="18.649999999999999" customHeight="1">
      <c r="A78" s="199">
        <v>4.01</v>
      </c>
      <c r="B78" s="99" t="s">
        <v>83</v>
      </c>
      <c r="C78" s="69" t="s">
        <v>50</v>
      </c>
      <c r="D78" s="125">
        <f>((0.75*0.2)*4)*4</f>
        <v>2.4000000000000004</v>
      </c>
      <c r="E78" s="125">
        <f>F78/D78</f>
        <v>12874.418832391713</v>
      </c>
      <c r="F78" s="294">
        <f>F83+F88</f>
        <v>30898.605197740118</v>
      </c>
    </row>
    <row r="79" spans="1:6" ht="18.649999999999999" customHeight="1">
      <c r="A79" s="204"/>
      <c r="B79" s="97" t="s">
        <v>2</v>
      </c>
      <c r="C79" s="23"/>
      <c r="D79" s="114"/>
      <c r="E79" s="118"/>
      <c r="F79" s="292"/>
    </row>
    <row r="80" spans="1:6" ht="18.649999999999999" customHeight="1">
      <c r="A80" s="204"/>
      <c r="B80" s="98" t="s">
        <v>84</v>
      </c>
      <c r="C80" s="23" t="s">
        <v>85</v>
      </c>
      <c r="D80" s="118">
        <f>D78/(2.4*1.2)/2</f>
        <v>0.41666666666666674</v>
      </c>
      <c r="E80" s="118">
        <v>32000</v>
      </c>
      <c r="F80" s="292">
        <f>D80*E80</f>
        <v>13333.333333333336</v>
      </c>
    </row>
    <row r="81" spans="1:6" ht="18.649999999999999" customHeight="1">
      <c r="A81" s="204"/>
      <c r="B81" s="98" t="s">
        <v>86</v>
      </c>
      <c r="C81" s="23" t="s">
        <v>44</v>
      </c>
      <c r="D81" s="118">
        <f>D78*1.5</f>
        <v>3.6000000000000005</v>
      </c>
      <c r="E81" s="118">
        <v>4000</v>
      </c>
      <c r="F81" s="292">
        <f>D81*E81</f>
        <v>14400.000000000002</v>
      </c>
    </row>
    <row r="82" spans="1:6" ht="18.649999999999999" customHeight="1">
      <c r="A82" s="200"/>
      <c r="B82" s="98" t="s">
        <v>87</v>
      </c>
      <c r="C82" s="23" t="s">
        <v>88</v>
      </c>
      <c r="D82" s="118">
        <f>D78*0.25</f>
        <v>0.60000000000000009</v>
      </c>
      <c r="E82" s="118">
        <f>1500/1.18</f>
        <v>1271.1864406779662</v>
      </c>
      <c r="F82" s="292">
        <f>D82*E82</f>
        <v>762.7118644067798</v>
      </c>
    </row>
    <row r="83" spans="1:6" ht="18.649999999999999" customHeight="1">
      <c r="A83" s="200"/>
      <c r="B83" s="97" t="s">
        <v>89</v>
      </c>
      <c r="C83" s="28"/>
      <c r="D83" s="121"/>
      <c r="E83" s="121"/>
      <c r="F83" s="293">
        <f>SUM(F80:F82)</f>
        <v>28496.045197740117</v>
      </c>
    </row>
    <row r="84" spans="1:6" ht="18.649999999999999" customHeight="1">
      <c r="A84" s="200"/>
      <c r="B84" s="98"/>
      <c r="C84" s="23"/>
      <c r="D84" s="118"/>
      <c r="E84" s="118"/>
      <c r="F84" s="292"/>
    </row>
    <row r="85" spans="1:6" ht="18.649999999999999" customHeight="1">
      <c r="A85" s="201"/>
      <c r="B85" s="97" t="s">
        <v>6</v>
      </c>
      <c r="C85" s="23"/>
      <c r="D85" s="118"/>
      <c r="E85" s="118"/>
      <c r="F85" s="292"/>
    </row>
    <row r="86" spans="1:6" ht="18.649999999999999" customHeight="1">
      <c r="A86" s="201"/>
      <c r="B86" s="98" t="s">
        <v>90</v>
      </c>
      <c r="C86" s="23" t="s">
        <v>21</v>
      </c>
      <c r="D86" s="118">
        <f>D78/15</f>
        <v>0.16000000000000003</v>
      </c>
      <c r="E86" s="118">
        <v>7016</v>
      </c>
      <c r="F86" s="292">
        <f>D86*E86</f>
        <v>1122.5600000000002</v>
      </c>
    </row>
    <row r="87" spans="1:6" ht="18.649999999999999" customHeight="1">
      <c r="A87" s="201"/>
      <c r="B87" s="98" t="s">
        <v>25</v>
      </c>
      <c r="C87" s="23" t="s">
        <v>21</v>
      </c>
      <c r="D87" s="118">
        <f>D86*2</f>
        <v>0.32000000000000006</v>
      </c>
      <c r="E87" s="133">
        <v>4000</v>
      </c>
      <c r="F87" s="292">
        <f>D87*E87</f>
        <v>1280.0000000000002</v>
      </c>
    </row>
    <row r="88" spans="1:6" ht="18.649999999999999" customHeight="1">
      <c r="A88" s="204"/>
      <c r="B88" s="97" t="s">
        <v>91</v>
      </c>
      <c r="C88" s="28"/>
      <c r="D88" s="122"/>
      <c r="E88" s="121"/>
      <c r="F88" s="293">
        <f>SUM(F86:F87)</f>
        <v>2402.5600000000004</v>
      </c>
    </row>
    <row r="89" spans="1:6" ht="18.649999999999999" customHeight="1">
      <c r="A89" s="199">
        <v>4.0199999999999996</v>
      </c>
      <c r="B89" s="99" t="s">
        <v>118</v>
      </c>
      <c r="C89" s="69" t="s">
        <v>50</v>
      </c>
      <c r="D89" s="125">
        <f>((1.05*0.3)*4)*4</f>
        <v>5.04</v>
      </c>
      <c r="E89" s="125">
        <f>F89/D89</f>
        <v>12874.418832391715</v>
      </c>
      <c r="F89" s="294">
        <f>F94+F99</f>
        <v>64887.07091525424</v>
      </c>
    </row>
    <row r="90" spans="1:6" ht="18.649999999999999" customHeight="1">
      <c r="A90" s="204"/>
      <c r="B90" s="97" t="s">
        <v>2</v>
      </c>
      <c r="C90" s="23"/>
      <c r="D90" s="114"/>
      <c r="E90" s="118"/>
      <c r="F90" s="292"/>
    </row>
    <row r="91" spans="1:6" ht="18.649999999999999" customHeight="1">
      <c r="A91" s="204"/>
      <c r="B91" s="98" t="s">
        <v>84</v>
      </c>
      <c r="C91" s="23" t="s">
        <v>85</v>
      </c>
      <c r="D91" s="118">
        <f>D89/(2.4*1.2)/2</f>
        <v>0.875</v>
      </c>
      <c r="E91" s="118">
        <v>32000</v>
      </c>
      <c r="F91" s="292">
        <f>D91*E91</f>
        <v>28000</v>
      </c>
    </row>
    <row r="92" spans="1:6" ht="18.649999999999999" customHeight="1">
      <c r="A92" s="204"/>
      <c r="B92" s="98" t="s">
        <v>86</v>
      </c>
      <c r="C92" s="23" t="s">
        <v>44</v>
      </c>
      <c r="D92" s="118">
        <f>D89*1.5</f>
        <v>7.5600000000000005</v>
      </c>
      <c r="E92" s="118">
        <v>4000</v>
      </c>
      <c r="F92" s="292">
        <f>D92*E92</f>
        <v>30240.000000000004</v>
      </c>
    </row>
    <row r="93" spans="1:6" ht="18.649999999999999" customHeight="1">
      <c r="A93" s="200"/>
      <c r="B93" s="98" t="s">
        <v>87</v>
      </c>
      <c r="C93" s="23" t="s">
        <v>88</v>
      </c>
      <c r="D93" s="118">
        <f>D89*0.25</f>
        <v>1.26</v>
      </c>
      <c r="E93" s="118">
        <f>1500/1.18</f>
        <v>1271.1864406779662</v>
      </c>
      <c r="F93" s="292">
        <f>D93*E93</f>
        <v>1601.6949152542375</v>
      </c>
    </row>
    <row r="94" spans="1:6" ht="18.649999999999999" customHeight="1">
      <c r="A94" s="200"/>
      <c r="B94" s="97" t="s">
        <v>89</v>
      </c>
      <c r="C94" s="28"/>
      <c r="D94" s="121"/>
      <c r="E94" s="121"/>
      <c r="F94" s="293">
        <f>SUM(F91:F93)</f>
        <v>59841.694915254237</v>
      </c>
    </row>
    <row r="95" spans="1:6" ht="18.649999999999999" customHeight="1">
      <c r="A95" s="200"/>
      <c r="B95" s="98"/>
      <c r="C95" s="23"/>
      <c r="D95" s="118"/>
      <c r="E95" s="118"/>
      <c r="F95" s="292"/>
    </row>
    <row r="96" spans="1:6" ht="18.649999999999999" customHeight="1">
      <c r="A96" s="201"/>
      <c r="B96" s="97" t="s">
        <v>6</v>
      </c>
      <c r="C96" s="23"/>
      <c r="D96" s="118"/>
      <c r="E96" s="118"/>
      <c r="F96" s="292"/>
    </row>
    <row r="97" spans="1:6" ht="18.649999999999999" customHeight="1">
      <c r="A97" s="201"/>
      <c r="B97" s="98" t="s">
        <v>90</v>
      </c>
      <c r="C97" s="23" t="s">
        <v>21</v>
      </c>
      <c r="D97" s="118">
        <f>D89/15</f>
        <v>0.33600000000000002</v>
      </c>
      <c r="E97" s="118">
        <v>7016</v>
      </c>
      <c r="F97" s="292">
        <f>D97*E97</f>
        <v>2357.3760000000002</v>
      </c>
    </row>
    <row r="98" spans="1:6" ht="18.649999999999999" customHeight="1">
      <c r="A98" s="201"/>
      <c r="B98" s="98" t="s">
        <v>25</v>
      </c>
      <c r="C98" s="23" t="s">
        <v>21</v>
      </c>
      <c r="D98" s="118">
        <f>D97*2</f>
        <v>0.67200000000000004</v>
      </c>
      <c r="E98" s="133">
        <v>4000</v>
      </c>
      <c r="F98" s="292">
        <f>D98*E98</f>
        <v>2688</v>
      </c>
    </row>
    <row r="99" spans="1:6" ht="18.649999999999999" customHeight="1">
      <c r="A99" s="204"/>
      <c r="B99" s="97" t="s">
        <v>91</v>
      </c>
      <c r="C99" s="28"/>
      <c r="D99" s="122"/>
      <c r="E99" s="121"/>
      <c r="F99" s="293">
        <f>SUM(F97:F98)</f>
        <v>5045.3760000000002</v>
      </c>
    </row>
    <row r="100" spans="1:6" ht="18.649999999999999" customHeight="1">
      <c r="A100" s="199">
        <v>4.03</v>
      </c>
      <c r="B100" s="99" t="s">
        <v>95</v>
      </c>
      <c r="C100" s="69" t="s">
        <v>36</v>
      </c>
      <c r="D100" s="125">
        <f>((3.1*0.3)*4)*4</f>
        <v>14.879999999999999</v>
      </c>
      <c r="E100" s="125">
        <f>F100/D100</f>
        <v>12874.418832391715</v>
      </c>
      <c r="F100" s="294">
        <f>F105+F110</f>
        <v>191571.3522259887</v>
      </c>
    </row>
    <row r="101" spans="1:6" ht="18.649999999999999" customHeight="1">
      <c r="A101" s="204"/>
      <c r="B101" s="97" t="s">
        <v>2</v>
      </c>
      <c r="C101" s="23"/>
      <c r="D101" s="114"/>
      <c r="E101" s="118"/>
      <c r="F101" s="292"/>
    </row>
    <row r="102" spans="1:6" ht="18.649999999999999" customHeight="1">
      <c r="A102" s="204"/>
      <c r="B102" s="98" t="s">
        <v>84</v>
      </c>
      <c r="C102" s="23" t="s">
        <v>85</v>
      </c>
      <c r="D102" s="118">
        <f>D100/(2.4*1.2)/2</f>
        <v>2.583333333333333</v>
      </c>
      <c r="E102" s="118">
        <v>32000</v>
      </c>
      <c r="F102" s="292">
        <f>D102*E102</f>
        <v>82666.666666666657</v>
      </c>
    </row>
    <row r="103" spans="1:6" ht="18.649999999999999" customHeight="1">
      <c r="A103" s="204"/>
      <c r="B103" s="98" t="s">
        <v>86</v>
      </c>
      <c r="C103" s="23" t="s">
        <v>44</v>
      </c>
      <c r="D103" s="118">
        <f>D100*1.5</f>
        <v>22.32</v>
      </c>
      <c r="E103" s="118">
        <v>4000</v>
      </c>
      <c r="F103" s="292">
        <f>D103*E103</f>
        <v>89280</v>
      </c>
    </row>
    <row r="104" spans="1:6" ht="18.649999999999999" customHeight="1">
      <c r="A104" s="200"/>
      <c r="B104" s="98" t="s">
        <v>87</v>
      </c>
      <c r="C104" s="23" t="s">
        <v>88</v>
      </c>
      <c r="D104" s="118">
        <f>D100*0.25</f>
        <v>3.7199999999999998</v>
      </c>
      <c r="E104" s="118">
        <f>1500/1.18</f>
        <v>1271.1864406779662</v>
      </c>
      <c r="F104" s="292">
        <f>D104*E104</f>
        <v>4728.8135593220341</v>
      </c>
    </row>
    <row r="105" spans="1:6" ht="18.649999999999999" customHeight="1">
      <c r="A105" s="200"/>
      <c r="B105" s="97" t="s">
        <v>89</v>
      </c>
      <c r="C105" s="28"/>
      <c r="D105" s="121"/>
      <c r="E105" s="121"/>
      <c r="F105" s="293">
        <f>SUM(F102:F104)</f>
        <v>176675.48022598869</v>
      </c>
    </row>
    <row r="106" spans="1:6" ht="18.649999999999999" customHeight="1">
      <c r="A106" s="200"/>
      <c r="B106" s="98"/>
      <c r="C106" s="23"/>
      <c r="D106" s="118"/>
      <c r="E106" s="118"/>
      <c r="F106" s="292"/>
    </row>
    <row r="107" spans="1:6" ht="18.649999999999999" customHeight="1">
      <c r="A107" s="201"/>
      <c r="B107" s="97" t="s">
        <v>6</v>
      </c>
      <c r="C107" s="23"/>
      <c r="D107" s="118"/>
      <c r="E107" s="118"/>
      <c r="F107" s="292"/>
    </row>
    <row r="108" spans="1:6" ht="18.649999999999999" customHeight="1">
      <c r="A108" s="201"/>
      <c r="B108" s="98" t="s">
        <v>90</v>
      </c>
      <c r="C108" s="23" t="s">
        <v>21</v>
      </c>
      <c r="D108" s="118">
        <f>D100/15</f>
        <v>0.99199999999999988</v>
      </c>
      <c r="E108" s="118">
        <v>7016</v>
      </c>
      <c r="F108" s="292">
        <f>D108*E108</f>
        <v>6959.8719999999994</v>
      </c>
    </row>
    <row r="109" spans="1:6" ht="18.649999999999999" customHeight="1">
      <c r="A109" s="201"/>
      <c r="B109" s="98" t="s">
        <v>25</v>
      </c>
      <c r="C109" s="23" t="s">
        <v>21</v>
      </c>
      <c r="D109" s="118">
        <f>D108*2</f>
        <v>1.9839999999999998</v>
      </c>
      <c r="E109" s="133">
        <v>4000</v>
      </c>
      <c r="F109" s="292">
        <f>D109*E109</f>
        <v>7935.9999999999991</v>
      </c>
    </row>
    <row r="110" spans="1:6" ht="18.649999999999999" customHeight="1">
      <c r="A110" s="204"/>
      <c r="B110" s="11" t="s">
        <v>9</v>
      </c>
      <c r="C110" s="28"/>
      <c r="D110" s="122"/>
      <c r="E110" s="121"/>
      <c r="F110" s="293">
        <f>SUM(F108:F109)</f>
        <v>14895.871999999999</v>
      </c>
    </row>
    <row r="111" spans="1:6" ht="18.649999999999999" customHeight="1">
      <c r="A111" s="204"/>
      <c r="B111" s="11"/>
      <c r="C111" s="28"/>
      <c r="D111" s="122"/>
      <c r="E111" s="121"/>
      <c r="F111" s="293"/>
    </row>
    <row r="112" spans="1:6" ht="18.649999999999999" customHeight="1">
      <c r="A112" s="205">
        <v>5</v>
      </c>
      <c r="B112" s="100" t="s">
        <v>105</v>
      </c>
      <c r="C112" s="69" t="s">
        <v>88</v>
      </c>
      <c r="D112" s="125">
        <v>94.819000000000003</v>
      </c>
      <c r="E112" s="125">
        <f>F112/D112</f>
        <v>1573.0956685499061</v>
      </c>
      <c r="F112" s="294">
        <f>F117+F122</f>
        <v>149159.35819623354</v>
      </c>
    </row>
    <row r="113" spans="1:6" ht="18.649999999999999" customHeight="1">
      <c r="A113" s="204"/>
      <c r="B113" s="97" t="s">
        <v>2</v>
      </c>
      <c r="C113" s="23"/>
      <c r="D113" s="114"/>
      <c r="E113" s="118"/>
      <c r="F113" s="292"/>
    </row>
    <row r="114" spans="1:6" ht="18.649999999999999" customHeight="1">
      <c r="A114" s="204"/>
      <c r="B114" s="98" t="s">
        <v>106</v>
      </c>
      <c r="C114" s="23" t="s">
        <v>88</v>
      </c>
      <c r="D114" s="118">
        <f>D112*1.1</f>
        <v>104.30090000000001</v>
      </c>
      <c r="E114" s="118">
        <f>1300/1.18</f>
        <v>1101.6949152542375</v>
      </c>
      <c r="F114" s="292">
        <f>D114*E114</f>
        <v>114907.7711864407</v>
      </c>
    </row>
    <row r="115" spans="1:6" ht="18.649999999999999" customHeight="1">
      <c r="A115" s="204"/>
      <c r="B115" s="98" t="s">
        <v>107</v>
      </c>
      <c r="C115" s="23" t="s">
        <v>88</v>
      </c>
      <c r="D115" s="118">
        <f>D112*2.5%</f>
        <v>2.3704750000000003</v>
      </c>
      <c r="E115" s="118">
        <f>1300/1.18</f>
        <v>1101.6949152542375</v>
      </c>
      <c r="F115" s="292">
        <f>D115*E115</f>
        <v>2611.540254237289</v>
      </c>
    </row>
    <row r="116" spans="1:6" ht="18.649999999999999" customHeight="1">
      <c r="A116" s="204"/>
      <c r="B116" s="98"/>
      <c r="C116" s="23"/>
      <c r="D116" s="118"/>
      <c r="E116" s="118"/>
      <c r="F116" s="292"/>
    </row>
    <row r="117" spans="1:6" ht="18.649999999999999" customHeight="1">
      <c r="A117" s="168"/>
      <c r="B117" s="97" t="s">
        <v>108</v>
      </c>
      <c r="C117" s="28"/>
      <c r="D117" s="121"/>
      <c r="E117" s="121"/>
      <c r="F117" s="293">
        <f>SUM(F114:F116)</f>
        <v>117519.31144067799</v>
      </c>
    </row>
    <row r="118" spans="1:6" ht="18.649999999999999" customHeight="1">
      <c r="A118" s="204"/>
      <c r="B118" s="98"/>
      <c r="C118" s="23"/>
      <c r="D118" s="118"/>
      <c r="E118" s="118"/>
      <c r="F118" s="292"/>
    </row>
    <row r="119" spans="1:6" ht="18.649999999999999" customHeight="1">
      <c r="A119" s="204"/>
      <c r="B119" s="97" t="s">
        <v>6</v>
      </c>
      <c r="C119" s="23"/>
      <c r="D119" s="118"/>
      <c r="E119" s="118"/>
      <c r="F119" s="292"/>
    </row>
    <row r="120" spans="1:6" ht="18.649999999999999" customHeight="1">
      <c r="A120" s="204"/>
      <c r="B120" s="98" t="s">
        <v>109</v>
      </c>
      <c r="C120" s="23" t="s">
        <v>8</v>
      </c>
      <c r="D120" s="118">
        <f>D112/45</f>
        <v>2.1070888888888888</v>
      </c>
      <c r="E120" s="118">
        <v>7016</v>
      </c>
      <c r="F120" s="292">
        <f>D120*E120</f>
        <v>14783.335644444443</v>
      </c>
    </row>
    <row r="121" spans="1:6" ht="18.649999999999999" customHeight="1">
      <c r="A121" s="204"/>
      <c r="B121" s="98" t="s">
        <v>110</v>
      </c>
      <c r="C121" s="23" t="s">
        <v>8</v>
      </c>
      <c r="D121" s="118">
        <f>D120*2</f>
        <v>4.2141777777777776</v>
      </c>
      <c r="E121" s="133">
        <v>4000</v>
      </c>
      <c r="F121" s="292">
        <f>D121*E121</f>
        <v>16856.711111111112</v>
      </c>
    </row>
    <row r="122" spans="1:6" ht="18.649999999999999" customHeight="1">
      <c r="A122" s="168"/>
      <c r="B122" s="97" t="s">
        <v>111</v>
      </c>
      <c r="C122" s="28"/>
      <c r="D122" s="122"/>
      <c r="E122" s="121"/>
      <c r="F122" s="293">
        <f>F120+F121</f>
        <v>31640.046755555555</v>
      </c>
    </row>
    <row r="123" spans="1:6" ht="18.649999999999999" customHeight="1">
      <c r="A123" s="168"/>
      <c r="B123" s="97"/>
      <c r="C123" s="28"/>
      <c r="D123" s="122"/>
      <c r="E123" s="121"/>
      <c r="F123" s="293"/>
    </row>
    <row r="124" spans="1:6" ht="18.649999999999999" customHeight="1">
      <c r="A124" s="170">
        <v>6</v>
      </c>
      <c r="B124" s="486" t="s">
        <v>101</v>
      </c>
      <c r="C124" s="486"/>
      <c r="D124" s="486"/>
      <c r="E124" s="486"/>
      <c r="F124" s="487"/>
    </row>
    <row r="125" spans="1:6" ht="18.649999999999999" customHeight="1">
      <c r="A125" s="199">
        <v>6.01</v>
      </c>
      <c r="B125" s="99" t="s">
        <v>102</v>
      </c>
      <c r="C125" s="69" t="s">
        <v>10</v>
      </c>
      <c r="D125" s="125">
        <f>(0.7*0.7*0.15)*4</f>
        <v>0.29399999999999993</v>
      </c>
      <c r="E125" s="125">
        <f>F125/D125</f>
        <v>118514.68000000001</v>
      </c>
      <c r="F125" s="294">
        <f>F128+F135+F132</f>
        <v>34843.315919999994</v>
      </c>
    </row>
    <row r="126" spans="1:6" ht="18.649999999999999" customHeight="1">
      <c r="A126" s="206"/>
      <c r="B126" s="101" t="s">
        <v>2</v>
      </c>
      <c r="C126" s="56"/>
      <c r="D126" s="123"/>
      <c r="E126" s="137"/>
      <c r="F126" s="295"/>
    </row>
    <row r="127" spans="1:6" ht="18.649999999999999" customHeight="1">
      <c r="A127" s="206"/>
      <c r="B127" s="102" t="s">
        <v>99</v>
      </c>
      <c r="C127" s="56" t="s">
        <v>28</v>
      </c>
      <c r="D127" s="137">
        <f>D125*1.1</f>
        <v>0.32339999999999997</v>
      </c>
      <c r="E127" s="137">
        <v>100000</v>
      </c>
      <c r="F127" s="295">
        <f>D127*E127</f>
        <v>32339.999999999996</v>
      </c>
    </row>
    <row r="128" spans="1:6" ht="18.649999999999999" customHeight="1">
      <c r="A128" s="207"/>
      <c r="B128" s="101" t="s">
        <v>100</v>
      </c>
      <c r="C128" s="57"/>
      <c r="D128" s="124"/>
      <c r="E128" s="124"/>
      <c r="F128" s="296">
        <f>F127</f>
        <v>32339.999999999996</v>
      </c>
    </row>
    <row r="129" spans="1:6" ht="18.649999999999999" customHeight="1">
      <c r="A129" s="207"/>
      <c r="B129" s="101"/>
      <c r="C129" s="57"/>
      <c r="D129" s="124"/>
      <c r="E129" s="124"/>
      <c r="F129" s="296"/>
    </row>
    <row r="130" spans="1:6" ht="18.649999999999999" customHeight="1">
      <c r="A130" s="204"/>
      <c r="B130" s="97" t="s">
        <v>19</v>
      </c>
      <c r="C130" s="23"/>
      <c r="D130" s="118"/>
      <c r="E130" s="118"/>
      <c r="F130" s="292"/>
    </row>
    <row r="131" spans="1:6" ht="18.649999999999999" customHeight="1">
      <c r="A131" s="204"/>
      <c r="B131" s="98" t="s">
        <v>22</v>
      </c>
      <c r="C131" s="23" t="s">
        <v>21</v>
      </c>
      <c r="D131" s="118">
        <f>D125/6</f>
        <v>4.8999999999999988E-2</v>
      </c>
      <c r="E131" s="118">
        <v>15000</v>
      </c>
      <c r="F131" s="292">
        <f>D131*E131</f>
        <v>734.99999999999977</v>
      </c>
    </row>
    <row r="132" spans="1:6" ht="18.649999999999999" customHeight="1">
      <c r="A132" s="168"/>
      <c r="B132" s="97" t="s">
        <v>112</v>
      </c>
      <c r="C132" s="28"/>
      <c r="D132" s="121"/>
      <c r="E132" s="121"/>
      <c r="F132" s="293">
        <f>SUM(F131:F131)</f>
        <v>734.99999999999977</v>
      </c>
    </row>
    <row r="133" spans="1:6" ht="18.649999999999999" customHeight="1">
      <c r="A133" s="168"/>
      <c r="B133" s="97"/>
      <c r="C133" s="28"/>
      <c r="D133" s="121"/>
      <c r="E133" s="121"/>
      <c r="F133" s="293"/>
    </row>
    <row r="134" spans="1:6" ht="18.649999999999999" customHeight="1">
      <c r="A134" s="206"/>
      <c r="B134" s="102" t="s">
        <v>26</v>
      </c>
      <c r="C134" s="56" t="s">
        <v>21</v>
      </c>
      <c r="D134" s="137">
        <f>D131</f>
        <v>4.8999999999999988E-2</v>
      </c>
      <c r="E134" s="136">
        <v>6088.08</v>
      </c>
      <c r="F134" s="295">
        <f>D134*E134</f>
        <v>298.31591999999995</v>
      </c>
    </row>
    <row r="135" spans="1:6" ht="18.649999999999999" customHeight="1">
      <c r="A135" s="207"/>
      <c r="B135" s="101" t="s">
        <v>113</v>
      </c>
      <c r="C135" s="57"/>
      <c r="D135" s="124"/>
      <c r="E135" s="124"/>
      <c r="F135" s="296">
        <f>SUM(F131:F134)</f>
        <v>1768.3159199999996</v>
      </c>
    </row>
    <row r="136" spans="1:6" ht="18.649999999999999" customHeight="1">
      <c r="A136" s="199">
        <v>6.02</v>
      </c>
      <c r="B136" s="99" t="s">
        <v>103</v>
      </c>
      <c r="C136" s="69" t="s">
        <v>10</v>
      </c>
      <c r="D136" s="125">
        <f>(1*0.25*0.25)*4</f>
        <v>0.25</v>
      </c>
      <c r="E136" s="125">
        <f>F136/D136</f>
        <v>111668.87728000002</v>
      </c>
      <c r="F136" s="294">
        <f>F139+F146+F143</f>
        <v>27917.219320000004</v>
      </c>
    </row>
    <row r="137" spans="1:6" ht="18.649999999999999" customHeight="1">
      <c r="A137" s="206"/>
      <c r="B137" s="101" t="s">
        <v>2</v>
      </c>
      <c r="C137" s="56"/>
      <c r="D137" s="123"/>
      <c r="E137" s="137"/>
      <c r="F137" s="295"/>
    </row>
    <row r="138" spans="1:6" ht="18.649999999999999" customHeight="1">
      <c r="A138" s="206"/>
      <c r="B138" s="102" t="s">
        <v>99</v>
      </c>
      <c r="C138" s="56" t="s">
        <v>28</v>
      </c>
      <c r="D138" s="137">
        <f>D136*1.1</f>
        <v>0.27500000000000002</v>
      </c>
      <c r="E138" s="137">
        <v>100000</v>
      </c>
      <c r="F138" s="295">
        <f>D138*E138</f>
        <v>27500.000000000004</v>
      </c>
    </row>
    <row r="139" spans="1:6" ht="18.649999999999999" customHeight="1">
      <c r="A139" s="207"/>
      <c r="B139" s="101" t="s">
        <v>100</v>
      </c>
      <c r="C139" s="57"/>
      <c r="D139" s="124"/>
      <c r="E139" s="124"/>
      <c r="F139" s="296">
        <f>F138</f>
        <v>27500.000000000004</v>
      </c>
    </row>
    <row r="140" spans="1:6" ht="18.649999999999999" customHeight="1">
      <c r="A140" s="207"/>
      <c r="B140" s="101"/>
      <c r="C140" s="57"/>
      <c r="D140" s="124"/>
      <c r="E140" s="124"/>
      <c r="F140" s="296"/>
    </row>
    <row r="141" spans="1:6" ht="18.649999999999999" customHeight="1">
      <c r="A141" s="204"/>
      <c r="B141" s="97" t="s">
        <v>19</v>
      </c>
      <c r="C141" s="23"/>
      <c r="D141" s="118"/>
      <c r="E141" s="118"/>
      <c r="F141" s="292"/>
    </row>
    <row r="142" spans="1:6" ht="18.649999999999999" customHeight="1">
      <c r="A142" s="204"/>
      <c r="B142" s="98" t="s">
        <v>22</v>
      </c>
      <c r="C142" s="23" t="s">
        <v>21</v>
      </c>
      <c r="D142" s="251">
        <f>D134/6</f>
        <v>8.1666666666666641E-3</v>
      </c>
      <c r="E142" s="118">
        <v>15000</v>
      </c>
      <c r="F142" s="292">
        <f>D142*E142</f>
        <v>122.49999999999996</v>
      </c>
    </row>
    <row r="143" spans="1:6" ht="18.649999999999999" customHeight="1">
      <c r="A143" s="168"/>
      <c r="B143" s="97" t="s">
        <v>112</v>
      </c>
      <c r="C143" s="28"/>
      <c r="D143" s="121"/>
      <c r="E143" s="121"/>
      <c r="F143" s="293">
        <f>SUM(F142:F142)</f>
        <v>122.49999999999996</v>
      </c>
    </row>
    <row r="144" spans="1:6" ht="18.649999999999999" customHeight="1">
      <c r="A144" s="168"/>
      <c r="B144" s="97"/>
      <c r="C144" s="28"/>
      <c r="D144" s="121"/>
      <c r="E144" s="121"/>
      <c r="F144" s="293"/>
    </row>
    <row r="145" spans="1:6" ht="18.649999999999999" customHeight="1">
      <c r="A145" s="206"/>
      <c r="B145" s="102" t="s">
        <v>26</v>
      </c>
      <c r="C145" s="56" t="s">
        <v>21</v>
      </c>
      <c r="D145" s="252">
        <f>D142</f>
        <v>8.1666666666666641E-3</v>
      </c>
      <c r="E145" s="136">
        <v>6088.08</v>
      </c>
      <c r="F145" s="295">
        <f>D145*E145</f>
        <v>49.719319999999982</v>
      </c>
    </row>
    <row r="146" spans="1:6" ht="18.649999999999999" customHeight="1">
      <c r="A146" s="207"/>
      <c r="B146" s="101" t="s">
        <v>113</v>
      </c>
      <c r="C146" s="57"/>
      <c r="D146" s="124"/>
      <c r="E146" s="124"/>
      <c r="F146" s="296">
        <f>SUM(F142:F145)</f>
        <v>294.71931999999993</v>
      </c>
    </row>
    <row r="147" spans="1:6" ht="18.649999999999999" customHeight="1">
      <c r="A147" s="199">
        <v>6.03</v>
      </c>
      <c r="B147" s="99" t="s">
        <v>104</v>
      </c>
      <c r="C147" s="69" t="s">
        <v>10</v>
      </c>
      <c r="D147" s="125">
        <f>(3*0.25*0.25)*4</f>
        <v>0.75</v>
      </c>
      <c r="E147" s="125">
        <f>F147/D147</f>
        <v>118514.68</v>
      </c>
      <c r="F147" s="294">
        <f>F150+F157+F154</f>
        <v>88886.01</v>
      </c>
    </row>
    <row r="148" spans="1:6" ht="18.649999999999999" customHeight="1">
      <c r="A148" s="206"/>
      <c r="B148" s="101" t="s">
        <v>2</v>
      </c>
      <c r="C148" s="56"/>
      <c r="D148" s="123"/>
      <c r="E148" s="137"/>
      <c r="F148" s="295"/>
    </row>
    <row r="149" spans="1:6" ht="18.649999999999999" customHeight="1">
      <c r="A149" s="206"/>
      <c r="B149" s="102" t="s">
        <v>99</v>
      </c>
      <c r="C149" s="56" t="s">
        <v>28</v>
      </c>
      <c r="D149" s="137">
        <f>D147*1.1</f>
        <v>0.82500000000000007</v>
      </c>
      <c r="E149" s="137">
        <v>100000</v>
      </c>
      <c r="F149" s="295">
        <f>D149*E149</f>
        <v>82500</v>
      </c>
    </row>
    <row r="150" spans="1:6" ht="18.649999999999999" customHeight="1">
      <c r="A150" s="207"/>
      <c r="B150" s="101" t="s">
        <v>100</v>
      </c>
      <c r="C150" s="57"/>
      <c r="D150" s="124"/>
      <c r="E150" s="124"/>
      <c r="F150" s="296">
        <f>F149</f>
        <v>82500</v>
      </c>
    </row>
    <row r="151" spans="1:6" ht="18.649999999999999" customHeight="1">
      <c r="A151" s="207"/>
      <c r="B151" s="101"/>
      <c r="C151" s="57"/>
      <c r="D151" s="124"/>
      <c r="E151" s="124"/>
      <c r="F151" s="296"/>
    </row>
    <row r="152" spans="1:6" ht="18.649999999999999" customHeight="1">
      <c r="A152" s="204"/>
      <c r="B152" s="97" t="s">
        <v>19</v>
      </c>
      <c r="C152" s="23"/>
      <c r="D152" s="118"/>
      <c r="E152" s="118"/>
      <c r="F152" s="292"/>
    </row>
    <row r="153" spans="1:6" ht="18.649999999999999" customHeight="1">
      <c r="A153" s="204"/>
      <c r="B153" s="98" t="s">
        <v>22</v>
      </c>
      <c r="C153" s="23" t="s">
        <v>21</v>
      </c>
      <c r="D153" s="118">
        <f>D147/6</f>
        <v>0.125</v>
      </c>
      <c r="E153" s="118">
        <v>15000</v>
      </c>
      <c r="F153" s="292">
        <f>D153*E153</f>
        <v>1875</v>
      </c>
    </row>
    <row r="154" spans="1:6" ht="18.649999999999999" customHeight="1">
      <c r="A154" s="168"/>
      <c r="B154" s="97" t="s">
        <v>112</v>
      </c>
      <c r="C154" s="28"/>
      <c r="D154" s="121"/>
      <c r="E154" s="121"/>
      <c r="F154" s="293">
        <f>SUM(F153:F153)</f>
        <v>1875</v>
      </c>
    </row>
    <row r="155" spans="1:6" ht="18.649999999999999" customHeight="1">
      <c r="A155" s="168"/>
      <c r="B155" s="97"/>
      <c r="C155" s="28"/>
      <c r="D155" s="121"/>
      <c r="E155" s="121"/>
      <c r="F155" s="293"/>
    </row>
    <row r="156" spans="1:6" ht="18.649999999999999" customHeight="1">
      <c r="A156" s="206"/>
      <c r="B156" s="102" t="s">
        <v>26</v>
      </c>
      <c r="C156" s="56" t="s">
        <v>21</v>
      </c>
      <c r="D156" s="137">
        <f>D153</f>
        <v>0.125</v>
      </c>
      <c r="E156" s="136">
        <v>6088.08</v>
      </c>
      <c r="F156" s="295">
        <f>D156*E156</f>
        <v>761.01</v>
      </c>
    </row>
    <row r="157" spans="1:6" ht="18.649999999999999" customHeight="1">
      <c r="A157" s="207"/>
      <c r="B157" s="101" t="s">
        <v>113</v>
      </c>
      <c r="C157" s="57"/>
      <c r="D157" s="124"/>
      <c r="E157" s="124"/>
      <c r="F157" s="296">
        <f>SUM(F153:F156)</f>
        <v>4511.01</v>
      </c>
    </row>
    <row r="158" spans="1:6" ht="18.649999999999999" customHeight="1">
      <c r="A158" s="207"/>
      <c r="B158" s="101"/>
      <c r="C158" s="57"/>
      <c r="D158" s="124"/>
      <c r="E158" s="124"/>
      <c r="F158" s="296"/>
    </row>
    <row r="159" spans="1:6" s="90" customFormat="1" ht="18.649999999999999" customHeight="1">
      <c r="A159" s="170">
        <v>7</v>
      </c>
      <c r="B159" s="482" t="s">
        <v>73</v>
      </c>
      <c r="C159" s="482"/>
      <c r="D159" s="482"/>
      <c r="E159" s="482"/>
      <c r="F159" s="483"/>
    </row>
    <row r="160" spans="1:6" ht="18.649999999999999" customHeight="1">
      <c r="A160" s="202">
        <v>7.01</v>
      </c>
      <c r="B160" s="16" t="s">
        <v>71</v>
      </c>
      <c r="C160" s="3" t="s">
        <v>28</v>
      </c>
      <c r="D160" s="117">
        <f>0.4*0.8*27.6</f>
        <v>8.8320000000000025</v>
      </c>
      <c r="E160" s="134">
        <f>SUM(F160)/D160</f>
        <v>66244.523921568631</v>
      </c>
      <c r="F160" s="160">
        <f>F165+F170</f>
        <v>585071.63527529431</v>
      </c>
    </row>
    <row r="161" spans="1:6" ht="18.649999999999999" customHeight="1">
      <c r="A161" s="201"/>
      <c r="B161" s="8" t="s">
        <v>29</v>
      </c>
      <c r="C161" s="9"/>
      <c r="D161" s="213"/>
      <c r="E161" s="133"/>
      <c r="F161" s="155"/>
    </row>
    <row r="162" spans="1:6" ht="18.649999999999999" customHeight="1">
      <c r="A162" s="201"/>
      <c r="B162" s="13" t="s">
        <v>30</v>
      </c>
      <c r="C162" s="9" t="s">
        <v>28</v>
      </c>
      <c r="D162" s="133">
        <f>D160*(10/17)*1.57</f>
        <v>8.156611764705886</v>
      </c>
      <c r="E162" s="133">
        <v>12000</v>
      </c>
      <c r="F162" s="155">
        <f>+D162*E162</f>
        <v>97879.341176470625</v>
      </c>
    </row>
    <row r="163" spans="1:6" ht="18.649999999999999" customHeight="1">
      <c r="A163" s="201"/>
      <c r="B163" s="13" t="s">
        <v>11</v>
      </c>
      <c r="C163" s="9" t="s">
        <v>31</v>
      </c>
      <c r="D163" s="118">
        <f>D160*(1/17)*1.57*(1440/50)</f>
        <v>23.491041882352949</v>
      </c>
      <c r="E163" s="118">
        <v>12000</v>
      </c>
      <c r="F163" s="155">
        <f>E163*D163</f>
        <v>281892.50258823537</v>
      </c>
    </row>
    <row r="164" spans="1:6" ht="18.649999999999999" customHeight="1">
      <c r="A164" s="201"/>
      <c r="B164" s="13" t="s">
        <v>32</v>
      </c>
      <c r="C164" s="9" t="s">
        <v>28</v>
      </c>
      <c r="D164" s="118">
        <f>D160*(6/17)*1.57</f>
        <v>4.8939670588235318</v>
      </c>
      <c r="E164" s="118">
        <v>25000</v>
      </c>
      <c r="F164" s="155">
        <f>E164*D164</f>
        <v>122349.1764705883</v>
      </c>
    </row>
    <row r="165" spans="1:6" ht="18.649999999999999" customHeight="1">
      <c r="A165" s="201"/>
      <c r="B165" s="8" t="s">
        <v>5</v>
      </c>
      <c r="C165" s="9"/>
      <c r="D165" s="133"/>
      <c r="E165" s="133"/>
      <c r="F165" s="162">
        <f>F162+F163+F164</f>
        <v>502121.0202352943</v>
      </c>
    </row>
    <row r="166" spans="1:6" ht="18.649999999999999" customHeight="1">
      <c r="A166" s="201"/>
      <c r="B166" s="13"/>
      <c r="C166" s="9"/>
      <c r="D166" s="133"/>
      <c r="E166" s="133"/>
      <c r="F166" s="155"/>
    </row>
    <row r="167" spans="1:6" ht="18.649999999999999" customHeight="1">
      <c r="A167" s="200"/>
      <c r="B167" s="8" t="s">
        <v>33</v>
      </c>
      <c r="C167" s="9"/>
      <c r="D167" s="133"/>
      <c r="E167" s="133"/>
      <c r="F167" s="155"/>
    </row>
    <row r="168" spans="1:6" ht="18.649999999999999" customHeight="1">
      <c r="A168" s="200"/>
      <c r="B168" s="13" t="s">
        <v>34</v>
      </c>
      <c r="C168" s="9" t="s">
        <v>21</v>
      </c>
      <c r="D168" s="133">
        <f>D160/1.5</f>
        <v>5.8880000000000017</v>
      </c>
      <c r="E168" s="133">
        <v>6088.08</v>
      </c>
      <c r="F168" s="155">
        <f>+D168*E168</f>
        <v>35846.615040000012</v>
      </c>
    </row>
    <row r="169" spans="1:6" ht="18.649999999999999" customHeight="1">
      <c r="A169" s="200"/>
      <c r="B169" s="13" t="s">
        <v>7</v>
      </c>
      <c r="C169" s="9" t="s">
        <v>21</v>
      </c>
      <c r="D169" s="133">
        <f>+D168*2</f>
        <v>11.776000000000003</v>
      </c>
      <c r="E169" s="133">
        <v>4000</v>
      </c>
      <c r="F169" s="155">
        <f>+D169*E169</f>
        <v>47104.000000000015</v>
      </c>
    </row>
    <row r="170" spans="1:6" ht="18.649999999999999" customHeight="1">
      <c r="A170" s="168"/>
      <c r="B170" s="97" t="s">
        <v>9</v>
      </c>
      <c r="C170" s="28"/>
      <c r="D170" s="121"/>
      <c r="E170" s="121"/>
      <c r="F170" s="293">
        <f>SUM(F168:F169)</f>
        <v>82950.615040000033</v>
      </c>
    </row>
    <row r="171" spans="1:6" ht="18.649999999999999" customHeight="1">
      <c r="A171" s="199">
        <v>8.01</v>
      </c>
      <c r="B171" s="16" t="s">
        <v>35</v>
      </c>
      <c r="C171" s="35" t="s">
        <v>36</v>
      </c>
      <c r="D171" s="138">
        <f>27.6*0.25</f>
        <v>6.9</v>
      </c>
      <c r="E171" s="138">
        <f>SUM(F171)/D171</f>
        <v>1882.5152542372884</v>
      </c>
      <c r="F171" s="153">
        <f>F174+F179</f>
        <v>12989.355254237291</v>
      </c>
    </row>
    <row r="172" spans="1:6" ht="18.649999999999999" customHeight="1">
      <c r="A172" s="201"/>
      <c r="B172" s="8" t="s">
        <v>29</v>
      </c>
      <c r="C172" s="9"/>
      <c r="D172" s="133"/>
      <c r="E172" s="133"/>
      <c r="F172" s="155"/>
    </row>
    <row r="173" spans="1:6" ht="18.649999999999999" customHeight="1">
      <c r="A173" s="200"/>
      <c r="B173" s="13" t="s">
        <v>37</v>
      </c>
      <c r="C173" s="9" t="s">
        <v>38</v>
      </c>
      <c r="D173" s="133">
        <f>D171</f>
        <v>6.9</v>
      </c>
      <c r="E173" s="133">
        <f>2000/1.18</f>
        <v>1694.9152542372883</v>
      </c>
      <c r="F173" s="155">
        <f>+D173*E173</f>
        <v>11694.91525423729</v>
      </c>
    </row>
    <row r="174" spans="1:6" ht="18.649999999999999" customHeight="1">
      <c r="A174" s="170"/>
      <c r="B174" s="8" t="s">
        <v>5</v>
      </c>
      <c r="C174" s="12"/>
      <c r="D174" s="135"/>
      <c r="E174" s="135"/>
      <c r="F174" s="162">
        <f>F173</f>
        <v>11694.91525423729</v>
      </c>
    </row>
    <row r="175" spans="1:6" ht="18.649999999999999" customHeight="1">
      <c r="A175" s="200"/>
      <c r="B175" s="13"/>
      <c r="C175" s="9"/>
      <c r="D175" s="133"/>
      <c r="E175" s="133"/>
      <c r="F175" s="155"/>
    </row>
    <row r="176" spans="1:6" ht="18.649999999999999" customHeight="1">
      <c r="A176" s="235"/>
      <c r="B176" s="8" t="s">
        <v>33</v>
      </c>
      <c r="C176" s="9"/>
      <c r="D176" s="133"/>
      <c r="E176" s="133"/>
      <c r="F176" s="155"/>
    </row>
    <row r="177" spans="1:6" ht="18.649999999999999" customHeight="1">
      <c r="A177" s="200"/>
      <c r="B177" s="13" t="s">
        <v>34</v>
      </c>
      <c r="C177" s="9" t="s">
        <v>21</v>
      </c>
      <c r="D177" s="118">
        <f>D171/100</f>
        <v>6.9000000000000006E-2</v>
      </c>
      <c r="E177" s="133">
        <v>10760</v>
      </c>
      <c r="F177" s="155">
        <f>+D177*E177</f>
        <v>742.44</v>
      </c>
    </row>
    <row r="178" spans="1:6" ht="18.649999999999999" customHeight="1">
      <c r="A178" s="200"/>
      <c r="B178" s="13" t="s">
        <v>7</v>
      </c>
      <c r="C178" s="9" t="s">
        <v>21</v>
      </c>
      <c r="D178" s="133">
        <f>+D177*2</f>
        <v>0.13800000000000001</v>
      </c>
      <c r="E178" s="133">
        <v>4000</v>
      </c>
      <c r="F178" s="155">
        <f>+D178*E178</f>
        <v>552</v>
      </c>
    </row>
    <row r="179" spans="1:6" ht="18.649999999999999" customHeight="1">
      <c r="A179" s="170"/>
      <c r="B179" s="8" t="s">
        <v>39</v>
      </c>
      <c r="C179" s="12"/>
      <c r="D179" s="135"/>
      <c r="E179" s="135"/>
      <c r="F179" s="162">
        <f>SUM(F177:F178)</f>
        <v>1294.44</v>
      </c>
    </row>
    <row r="180" spans="1:6" ht="18.649999999999999" customHeight="1">
      <c r="A180" s="170"/>
      <c r="B180" s="8"/>
      <c r="C180" s="12"/>
      <c r="D180" s="135"/>
      <c r="E180" s="135"/>
      <c r="F180" s="162"/>
    </row>
    <row r="181" spans="1:6" s="90" customFormat="1" ht="18.649999999999999" customHeight="1">
      <c r="A181" s="168">
        <v>9</v>
      </c>
      <c r="B181" s="484" t="s">
        <v>72</v>
      </c>
      <c r="C181" s="484"/>
      <c r="D181" s="484"/>
      <c r="E181" s="484"/>
      <c r="F181" s="485"/>
    </row>
    <row r="182" spans="1:6" ht="18.649999999999999" customHeight="1">
      <c r="A182" s="199">
        <v>9.01</v>
      </c>
      <c r="B182" s="16" t="s">
        <v>40</v>
      </c>
      <c r="C182" s="3" t="s">
        <v>1</v>
      </c>
      <c r="D182" s="117">
        <f>(27.6*3)-(7.56+2.35)</f>
        <v>72.890000000000015</v>
      </c>
      <c r="E182" s="134">
        <f>SUM(F182)/D182</f>
        <v>15002.706022253746</v>
      </c>
      <c r="F182" s="160">
        <f>F188+F193</f>
        <v>1093547.2419620757</v>
      </c>
    </row>
    <row r="183" spans="1:6" ht="18.649999999999999" customHeight="1">
      <c r="A183" s="203"/>
      <c r="B183" s="103"/>
      <c r="C183" s="20" t="s">
        <v>28</v>
      </c>
      <c r="D183" s="252">
        <f>D182*0.2</f>
        <v>14.578000000000003</v>
      </c>
      <c r="E183" s="136"/>
      <c r="F183" s="165"/>
    </row>
    <row r="184" spans="1:6" ht="18.649999999999999" customHeight="1">
      <c r="A184" s="200"/>
      <c r="B184" s="8" t="s">
        <v>2</v>
      </c>
      <c r="C184" s="9"/>
      <c r="D184" s="133"/>
      <c r="E184" s="133"/>
      <c r="F184" s="155"/>
    </row>
    <row r="185" spans="1:6" ht="18.649999999999999" customHeight="1">
      <c r="A185" s="200"/>
      <c r="B185" s="48" t="s">
        <v>41</v>
      </c>
      <c r="C185" s="9" t="s">
        <v>31</v>
      </c>
      <c r="D185" s="118">
        <f>D183*0.2439*(1/7)*1.54*(1440/50)</f>
        <v>22.528118131200007</v>
      </c>
      <c r="E185" s="133">
        <v>12000</v>
      </c>
      <c r="F185" s="155">
        <f>D185*E185</f>
        <v>270337.41757440008</v>
      </c>
    </row>
    <row r="186" spans="1:6" ht="18.649999999999999" customHeight="1">
      <c r="A186" s="200"/>
      <c r="B186" s="48" t="s">
        <v>42</v>
      </c>
      <c r="C186" s="9" t="s">
        <v>28</v>
      </c>
      <c r="D186" s="118">
        <f>D183*0.2439*(6/7)*1.54</f>
        <v>4.6933579440000015</v>
      </c>
      <c r="E186" s="133">
        <v>25000</v>
      </c>
      <c r="F186" s="155">
        <f>D186*E186</f>
        <v>117333.94860000003</v>
      </c>
    </row>
    <row r="187" spans="1:6" ht="18.649999999999999" customHeight="1">
      <c r="A187" s="200"/>
      <c r="B187" s="48" t="s">
        <v>43</v>
      </c>
      <c r="C187" s="9" t="s">
        <v>44</v>
      </c>
      <c r="D187" s="118">
        <f>D183*1.15/(0.235*0.1125*0.075)</f>
        <v>8455.010244286841</v>
      </c>
      <c r="E187" s="133">
        <v>50</v>
      </c>
      <c r="F187" s="155">
        <f>D187*E187</f>
        <v>422750.51221434207</v>
      </c>
    </row>
    <row r="188" spans="1:6" ht="18.649999999999999" customHeight="1">
      <c r="A188" s="170"/>
      <c r="B188" s="60" t="s">
        <v>5</v>
      </c>
      <c r="C188" s="12"/>
      <c r="D188" s="121"/>
      <c r="E188" s="135"/>
      <c r="F188" s="162">
        <f>SUM(F185:F187)</f>
        <v>810421.87838874222</v>
      </c>
    </row>
    <row r="189" spans="1:6" ht="18.649999999999999" customHeight="1">
      <c r="A189" s="200"/>
      <c r="B189" s="48"/>
      <c r="C189" s="9"/>
      <c r="D189" s="118"/>
      <c r="E189" s="133"/>
      <c r="F189" s="155"/>
    </row>
    <row r="190" spans="1:6" ht="18.649999999999999" customHeight="1">
      <c r="A190" s="200"/>
      <c r="B190" s="8" t="s">
        <v>6</v>
      </c>
      <c r="C190" s="9"/>
      <c r="D190" s="133"/>
      <c r="E190" s="133"/>
      <c r="F190" s="155"/>
    </row>
    <row r="191" spans="1:6" ht="18.649999999999999" customHeight="1">
      <c r="A191" s="200"/>
      <c r="B191" s="13" t="s">
        <v>34</v>
      </c>
      <c r="C191" s="9" t="s">
        <v>8</v>
      </c>
      <c r="D191" s="133">
        <f>D183/1</f>
        <v>14.578000000000003</v>
      </c>
      <c r="E191" s="133">
        <v>6088.08</v>
      </c>
      <c r="F191" s="155">
        <f>D191*E191</f>
        <v>88752.030240000022</v>
      </c>
    </row>
    <row r="192" spans="1:6" ht="18.649999999999999" customHeight="1">
      <c r="A192" s="200"/>
      <c r="B192" s="13" t="s">
        <v>7</v>
      </c>
      <c r="C192" s="9" t="s">
        <v>8</v>
      </c>
      <c r="D192" s="118">
        <f>(D183/1.2)*4</f>
        <v>48.593333333333348</v>
      </c>
      <c r="E192" s="133">
        <v>4000</v>
      </c>
      <c r="F192" s="155">
        <f>D192*E192</f>
        <v>194373.3333333334</v>
      </c>
    </row>
    <row r="193" spans="1:6" ht="18.649999999999999" customHeight="1">
      <c r="A193" s="174"/>
      <c r="B193" s="60" t="s">
        <v>9</v>
      </c>
      <c r="C193" s="61"/>
      <c r="D193" s="14"/>
      <c r="E193" s="143"/>
      <c r="F193" s="290">
        <f>SUM(F191:F192)</f>
        <v>283125.36357333342</v>
      </c>
    </row>
    <row r="194" spans="1:6" ht="18.649999999999999" customHeight="1">
      <c r="A194" s="174"/>
      <c r="B194" s="60"/>
      <c r="C194" s="61"/>
      <c r="D194" s="14"/>
      <c r="E194" s="143"/>
      <c r="F194" s="290"/>
    </row>
    <row r="195" spans="1:6" s="63" customFormat="1" ht="18.649999999999999" customHeight="1">
      <c r="A195" s="174">
        <v>10</v>
      </c>
      <c r="B195" s="480" t="s">
        <v>79</v>
      </c>
      <c r="C195" s="480"/>
      <c r="D195" s="480"/>
      <c r="E195" s="480"/>
      <c r="F195" s="481"/>
    </row>
    <row r="196" spans="1:6" ht="18.649999999999999" customHeight="1">
      <c r="A196" s="199">
        <v>10.01</v>
      </c>
      <c r="B196" s="2" t="s">
        <v>74</v>
      </c>
      <c r="C196" s="15" t="s">
        <v>45</v>
      </c>
      <c r="D196" s="175">
        <f>8.7*0.25*0.2</f>
        <v>0.435</v>
      </c>
      <c r="E196" s="176"/>
      <c r="F196" s="160">
        <f>F203+F208+F213</f>
        <v>59682.604250871082</v>
      </c>
    </row>
    <row r="197" spans="1:6" ht="18.649999999999999" customHeight="1">
      <c r="A197" s="235"/>
      <c r="B197" s="177" t="s">
        <v>29</v>
      </c>
      <c r="C197" s="178"/>
      <c r="D197" s="253"/>
      <c r="E197" s="180"/>
      <c r="F197" s="181"/>
    </row>
    <row r="198" spans="1:6" ht="18.649999999999999" customHeight="1">
      <c r="A198" s="235"/>
      <c r="B198" s="182" t="s">
        <v>14</v>
      </c>
      <c r="C198" s="18" t="s">
        <v>45</v>
      </c>
      <c r="D198" s="253">
        <f>D196*(4/7)*1.57</f>
        <v>0.39025714285714286</v>
      </c>
      <c r="E198" s="180">
        <v>32000</v>
      </c>
      <c r="F198" s="181">
        <f>D198*E198</f>
        <v>12488.228571428572</v>
      </c>
    </row>
    <row r="199" spans="1:6" ht="18.649999999999999" customHeight="1">
      <c r="A199" s="235"/>
      <c r="B199" s="182" t="s">
        <v>13</v>
      </c>
      <c r="C199" s="18" t="s">
        <v>45</v>
      </c>
      <c r="D199" s="253">
        <f>D196*(2/7)*1.54</f>
        <v>0.19139999999999999</v>
      </c>
      <c r="E199" s="180">
        <v>25000</v>
      </c>
      <c r="F199" s="181">
        <f>D199*E199</f>
        <v>4785</v>
      </c>
    </row>
    <row r="200" spans="1:6" ht="18">
      <c r="A200" s="235"/>
      <c r="B200" s="182" t="s">
        <v>11</v>
      </c>
      <c r="C200" s="178" t="s">
        <v>12</v>
      </c>
      <c r="D200" s="253">
        <f>D196*(1/7)*1.57*(1440/50)</f>
        <v>2.8098514285714287</v>
      </c>
      <c r="E200" s="180">
        <v>12000</v>
      </c>
      <c r="F200" s="181">
        <f>D200*E200</f>
        <v>33718.217142857146</v>
      </c>
    </row>
    <row r="201" spans="1:6" ht="18">
      <c r="A201" s="206"/>
      <c r="B201" s="102" t="s">
        <v>15</v>
      </c>
      <c r="C201" s="56" t="s">
        <v>16</v>
      </c>
      <c r="D201" s="137">
        <f>D206*10</f>
        <v>0.72499999999999998</v>
      </c>
      <c r="E201" s="137">
        <v>1587</v>
      </c>
      <c r="F201" s="295">
        <f>D201*E201</f>
        <v>1150.575</v>
      </c>
    </row>
    <row r="202" spans="1:6" ht="18">
      <c r="A202" s="206"/>
      <c r="B202" s="102" t="s">
        <v>17</v>
      </c>
      <c r="C202" s="56" t="s">
        <v>16</v>
      </c>
      <c r="D202" s="137">
        <f>D207*5</f>
        <v>0.36249999999999999</v>
      </c>
      <c r="E202" s="137">
        <v>1587</v>
      </c>
      <c r="F202" s="295">
        <f>D202*E202</f>
        <v>575.28750000000002</v>
      </c>
    </row>
    <row r="203" spans="1:6" ht="18">
      <c r="A203" s="235"/>
      <c r="B203" s="177" t="s">
        <v>5</v>
      </c>
      <c r="C203" s="178"/>
      <c r="D203" s="253"/>
      <c r="E203" s="180"/>
      <c r="F203" s="297">
        <f>F198+F199+F200</f>
        <v>50991.445714285714</v>
      </c>
    </row>
    <row r="204" spans="1:6" ht="18">
      <c r="A204" s="235"/>
      <c r="B204" s="182"/>
      <c r="C204" s="178"/>
      <c r="D204" s="253"/>
      <c r="E204" s="180"/>
      <c r="F204" s="181"/>
    </row>
    <row r="205" spans="1:6" ht="18">
      <c r="A205" s="206"/>
      <c r="B205" s="101" t="s">
        <v>19</v>
      </c>
      <c r="C205" s="56"/>
      <c r="D205" s="137"/>
      <c r="E205" s="137"/>
      <c r="F205" s="295"/>
    </row>
    <row r="206" spans="1:6" ht="16.399999999999999" customHeight="1">
      <c r="A206" s="206"/>
      <c r="B206" s="102" t="s">
        <v>20</v>
      </c>
      <c r="C206" s="56" t="s">
        <v>21</v>
      </c>
      <c r="D206" s="137">
        <f>D196/6</f>
        <v>7.2499999999999995E-2</v>
      </c>
      <c r="E206" s="137">
        <v>50000</v>
      </c>
      <c r="F206" s="295">
        <f>D206*E206</f>
        <v>3624.9999999999995</v>
      </c>
    </row>
    <row r="207" spans="1:6" ht="16.399999999999999" customHeight="1">
      <c r="A207" s="206"/>
      <c r="B207" s="102" t="s">
        <v>22</v>
      </c>
      <c r="C207" s="56" t="s">
        <v>21</v>
      </c>
      <c r="D207" s="137">
        <f>D196/6</f>
        <v>7.2499999999999995E-2</v>
      </c>
      <c r="E207" s="137">
        <v>15000</v>
      </c>
      <c r="F207" s="295">
        <f>D207*E207</f>
        <v>1087.5</v>
      </c>
    </row>
    <row r="208" spans="1:6" ht="19.5">
      <c r="A208" s="207"/>
      <c r="B208" s="101" t="s">
        <v>23</v>
      </c>
      <c r="C208" s="57"/>
      <c r="D208" s="124"/>
      <c r="E208" s="124"/>
      <c r="F208" s="296">
        <f>SUM(F206:F207)</f>
        <v>4712.5</v>
      </c>
    </row>
    <row r="209" spans="1:6" ht="19.5">
      <c r="A209" s="207"/>
      <c r="B209" s="101"/>
      <c r="C209" s="57"/>
      <c r="D209" s="124"/>
      <c r="E209" s="124"/>
      <c r="F209" s="296"/>
    </row>
    <row r="210" spans="1:6" ht="18">
      <c r="A210" s="238"/>
      <c r="B210" s="177" t="s">
        <v>33</v>
      </c>
      <c r="C210" s="178"/>
      <c r="D210" s="253"/>
      <c r="E210" s="180"/>
      <c r="F210" s="181"/>
    </row>
    <row r="211" spans="1:6" ht="18">
      <c r="A211" s="238"/>
      <c r="B211" s="182" t="s">
        <v>34</v>
      </c>
      <c r="C211" s="178" t="s">
        <v>21</v>
      </c>
      <c r="D211" s="253">
        <f>D196/1.64</f>
        <v>0.2652439024390244</v>
      </c>
      <c r="E211" s="180">
        <v>7000</v>
      </c>
      <c r="F211" s="181">
        <f>+D211*E211</f>
        <v>1856.7073170731708</v>
      </c>
    </row>
    <row r="212" spans="1:6" ht="18">
      <c r="A212" s="238"/>
      <c r="B212" s="182" t="s">
        <v>7</v>
      </c>
      <c r="C212" s="178" t="s">
        <v>21</v>
      </c>
      <c r="D212" s="253">
        <f>+D211*2</f>
        <v>0.53048780487804881</v>
      </c>
      <c r="E212" s="180">
        <v>4000</v>
      </c>
      <c r="F212" s="181">
        <f>+D212*E212</f>
        <v>2121.9512195121952</v>
      </c>
    </row>
    <row r="213" spans="1:6" s="63" customFormat="1" ht="19.5">
      <c r="A213" s="188"/>
      <c r="B213" s="177" t="s">
        <v>119</v>
      </c>
      <c r="C213" s="185"/>
      <c r="D213" s="254"/>
      <c r="E213" s="187"/>
      <c r="F213" s="297">
        <f>F211+F212</f>
        <v>3978.6585365853662</v>
      </c>
    </row>
    <row r="214" spans="1:6" ht="18">
      <c r="A214" s="238"/>
      <c r="B214" s="182"/>
      <c r="C214" s="178"/>
      <c r="D214" s="253"/>
      <c r="E214" s="180"/>
      <c r="F214" s="181"/>
    </row>
    <row r="215" spans="1:6" s="63" customFormat="1" ht="19.5">
      <c r="A215" s="188">
        <v>11</v>
      </c>
      <c r="B215" s="488" t="s">
        <v>76</v>
      </c>
      <c r="C215" s="488"/>
      <c r="D215" s="488"/>
      <c r="E215" s="488"/>
      <c r="F215" s="489"/>
    </row>
    <row r="216" spans="1:6" ht="18">
      <c r="A216" s="199">
        <v>11.01</v>
      </c>
      <c r="B216" s="99" t="s">
        <v>75</v>
      </c>
      <c r="C216" s="41" t="s">
        <v>36</v>
      </c>
      <c r="D216" s="117">
        <f>46.8+28</f>
        <v>74.8</v>
      </c>
      <c r="E216" s="117">
        <f>F216/D216</f>
        <v>4773.3450525027356</v>
      </c>
      <c r="F216" s="298">
        <f>F223+F233+F228</f>
        <v>357046.20992720459</v>
      </c>
    </row>
    <row r="217" spans="1:6" ht="18">
      <c r="A217" s="203"/>
      <c r="B217" s="19"/>
      <c r="C217" s="20"/>
      <c r="D217" s="137">
        <f>D216*0.05</f>
        <v>3.74</v>
      </c>
      <c r="E217" s="136"/>
      <c r="F217" s="165"/>
    </row>
    <row r="218" spans="1:6" ht="18">
      <c r="A218" s="204"/>
      <c r="B218" s="97" t="s">
        <v>2</v>
      </c>
      <c r="C218" s="23"/>
      <c r="D218" s="118"/>
      <c r="E218" s="118"/>
      <c r="F218" s="292"/>
    </row>
    <row r="219" spans="1:6" ht="18">
      <c r="A219" s="201"/>
      <c r="B219" s="13" t="s">
        <v>30</v>
      </c>
      <c r="C219" s="9" t="s">
        <v>28</v>
      </c>
      <c r="D219" s="133">
        <f>D216*0.1*1.5</f>
        <v>11.22</v>
      </c>
      <c r="E219" s="133">
        <v>12000</v>
      </c>
      <c r="F219" s="155">
        <f>+D219*E219</f>
        <v>134640</v>
      </c>
    </row>
    <row r="220" spans="1:6" ht="18">
      <c r="A220" s="204"/>
      <c r="B220" s="98" t="s">
        <v>11</v>
      </c>
      <c r="C220" s="23" t="s">
        <v>12</v>
      </c>
      <c r="D220" s="133">
        <f>D217*(1/13)*1.57*(1440/50)</f>
        <v>13.008295384615389</v>
      </c>
      <c r="E220" s="118">
        <v>12000</v>
      </c>
      <c r="F220" s="292">
        <f>D220*E220</f>
        <v>156099.54461538466</v>
      </c>
    </row>
    <row r="221" spans="1:6" ht="18">
      <c r="A221" s="204"/>
      <c r="B221" s="98" t="s">
        <v>13</v>
      </c>
      <c r="C221" s="23" t="s">
        <v>10</v>
      </c>
      <c r="D221" s="133">
        <f>D217*(4/13)*1.57</f>
        <v>1.8067076923076928</v>
      </c>
      <c r="E221" s="118">
        <v>25000</v>
      </c>
      <c r="F221" s="292">
        <f>D221*E221</f>
        <v>45167.692307692319</v>
      </c>
    </row>
    <row r="222" spans="1:6" ht="18">
      <c r="A222" s="204"/>
      <c r="B222" s="98" t="s">
        <v>14</v>
      </c>
      <c r="C222" s="23" t="s">
        <v>10</v>
      </c>
      <c r="D222" s="133">
        <f>D217*(8/13)*1.57</f>
        <v>3.6134153846153856</v>
      </c>
      <c r="E222" s="118">
        <v>27000</v>
      </c>
      <c r="F222" s="292">
        <f>D222*E222</f>
        <v>97562.215384615411</v>
      </c>
    </row>
    <row r="223" spans="1:6" ht="16.399999999999999" customHeight="1">
      <c r="A223" s="168"/>
      <c r="B223" s="97" t="s">
        <v>18</v>
      </c>
      <c r="C223" s="28"/>
      <c r="D223" s="121"/>
      <c r="E223" s="121"/>
      <c r="F223" s="293">
        <f>SUM(F220:F222)</f>
        <v>298829.45230769238</v>
      </c>
    </row>
    <row r="224" spans="1:6" ht="19.5">
      <c r="A224" s="168"/>
      <c r="B224" s="97"/>
      <c r="C224" s="28"/>
      <c r="D224" s="121"/>
      <c r="E224" s="121"/>
      <c r="F224" s="293"/>
    </row>
    <row r="225" spans="1:6" ht="18">
      <c r="A225" s="206"/>
      <c r="B225" s="101" t="s">
        <v>19</v>
      </c>
      <c r="C225" s="56"/>
      <c r="D225" s="137"/>
      <c r="E225" s="137"/>
      <c r="F225" s="295"/>
    </row>
    <row r="226" spans="1:6" ht="18">
      <c r="A226" s="206"/>
      <c r="B226" s="102" t="s">
        <v>20</v>
      </c>
      <c r="C226" s="56" t="s">
        <v>21</v>
      </c>
      <c r="D226" s="137">
        <f>D212/6</f>
        <v>8.8414634146341473E-2</v>
      </c>
      <c r="E226" s="137">
        <v>50000</v>
      </c>
      <c r="F226" s="295">
        <f>D226*E226</f>
        <v>4420.7317073170734</v>
      </c>
    </row>
    <row r="227" spans="1:6" ht="16.399999999999999" customHeight="1">
      <c r="A227" s="206"/>
      <c r="B227" s="102" t="s">
        <v>22</v>
      </c>
      <c r="C227" s="56" t="s">
        <v>21</v>
      </c>
      <c r="D227" s="137">
        <f>D212/6</f>
        <v>8.8414634146341473E-2</v>
      </c>
      <c r="E227" s="137">
        <v>15000</v>
      </c>
      <c r="F227" s="295">
        <f>D227*E227</f>
        <v>1326.219512195122</v>
      </c>
    </row>
    <row r="228" spans="1:6" ht="19.5">
      <c r="A228" s="207"/>
      <c r="B228" s="101" t="s">
        <v>23</v>
      </c>
      <c r="C228" s="57"/>
      <c r="D228" s="124"/>
      <c r="E228" s="124"/>
      <c r="F228" s="296">
        <f>SUM(F226:F227)</f>
        <v>5746.9512195121952</v>
      </c>
    </row>
    <row r="229" spans="1:6" ht="18">
      <c r="A229" s="206"/>
      <c r="B229" s="102"/>
      <c r="C229" s="56"/>
      <c r="D229" s="137"/>
      <c r="E229" s="137"/>
      <c r="F229" s="295"/>
    </row>
    <row r="230" spans="1:6" ht="18">
      <c r="A230" s="204"/>
      <c r="B230" s="97" t="s">
        <v>6</v>
      </c>
      <c r="C230" s="23"/>
      <c r="D230" s="118"/>
      <c r="E230" s="118"/>
      <c r="F230" s="292"/>
    </row>
    <row r="231" spans="1:6" ht="18">
      <c r="A231" s="204"/>
      <c r="B231" s="98" t="s">
        <v>24</v>
      </c>
      <c r="C231" s="23" t="s">
        <v>21</v>
      </c>
      <c r="D231" s="118">
        <f>(D217/6)*2</f>
        <v>1.2466666666666668</v>
      </c>
      <c r="E231" s="133">
        <v>6088.08</v>
      </c>
      <c r="F231" s="292">
        <f>D231*E231</f>
        <v>7589.8064000000004</v>
      </c>
    </row>
    <row r="232" spans="1:6" ht="18">
      <c r="A232" s="204"/>
      <c r="B232" s="98" t="s">
        <v>25</v>
      </c>
      <c r="C232" s="23" t="s">
        <v>21</v>
      </c>
      <c r="D232" s="118">
        <f>(D217/6)*18</f>
        <v>11.22</v>
      </c>
      <c r="E232" s="133">
        <v>4000</v>
      </c>
      <c r="F232" s="292">
        <f>D232*E232</f>
        <v>44880</v>
      </c>
    </row>
    <row r="233" spans="1:6" ht="19.5">
      <c r="A233" s="168"/>
      <c r="B233" s="97" t="s">
        <v>27</v>
      </c>
      <c r="C233" s="28"/>
      <c r="D233" s="121"/>
      <c r="E233" s="121"/>
      <c r="F233" s="293">
        <f>SUM(F231:F232)</f>
        <v>52469.806400000001</v>
      </c>
    </row>
    <row r="234" spans="1:6" ht="18">
      <c r="A234" s="204"/>
      <c r="B234" s="98"/>
      <c r="C234" s="23"/>
      <c r="D234" s="118"/>
      <c r="E234" s="118"/>
      <c r="F234" s="292"/>
    </row>
    <row r="235" spans="1:6" ht="18">
      <c r="A235" s="199">
        <v>12.01</v>
      </c>
      <c r="B235" s="2" t="s">
        <v>46</v>
      </c>
      <c r="C235" s="65" t="s">
        <v>47</v>
      </c>
      <c r="D235" s="214">
        <f>46.8+28</f>
        <v>74.8</v>
      </c>
      <c r="E235" s="139">
        <f>F235/D235</f>
        <v>4745.6996666666673</v>
      </c>
      <c r="F235" s="153">
        <f>F239+F244</f>
        <v>354978.33506666671</v>
      </c>
    </row>
    <row r="236" spans="1:6" ht="18">
      <c r="A236" s="201"/>
      <c r="B236" s="60" t="s">
        <v>2</v>
      </c>
      <c r="C236" s="44"/>
      <c r="D236" s="140"/>
      <c r="E236" s="140"/>
      <c r="F236" s="155"/>
    </row>
    <row r="237" spans="1:6" ht="18">
      <c r="A237" s="201"/>
      <c r="B237" s="48" t="s">
        <v>11</v>
      </c>
      <c r="C237" s="44" t="s">
        <v>12</v>
      </c>
      <c r="D237" s="140">
        <f>D235*(1/6)*0.032*(1440/50)*1.54</f>
        <v>17.6934912</v>
      </c>
      <c r="E237" s="140">
        <v>12000</v>
      </c>
      <c r="F237" s="155">
        <f>E237*D237</f>
        <v>212321.89440000002</v>
      </c>
    </row>
    <row r="238" spans="1:6" ht="18">
      <c r="A238" s="201"/>
      <c r="B238" s="48" t="s">
        <v>13</v>
      </c>
      <c r="C238" s="44" t="s">
        <v>10</v>
      </c>
      <c r="D238" s="140">
        <f>D235*(5/6)*0.032*1.54</f>
        <v>3.0717866666666671</v>
      </c>
      <c r="E238" s="140">
        <v>25000</v>
      </c>
      <c r="F238" s="155">
        <f>E238*D238</f>
        <v>76794.666666666672</v>
      </c>
    </row>
    <row r="239" spans="1:6" ht="19.5">
      <c r="A239" s="168"/>
      <c r="B239" s="97" t="s">
        <v>5</v>
      </c>
      <c r="C239" s="28"/>
      <c r="D239" s="121"/>
      <c r="E239" s="121"/>
      <c r="F239" s="293">
        <f>SUM(F237:F238)</f>
        <v>289116.56106666668</v>
      </c>
    </row>
    <row r="240" spans="1:6" ht="18">
      <c r="A240" s="204"/>
      <c r="B240" s="98"/>
      <c r="C240" s="23"/>
      <c r="D240" s="118"/>
      <c r="E240" s="118"/>
      <c r="F240" s="292"/>
    </row>
    <row r="241" spans="1:6" ht="18">
      <c r="A241" s="204"/>
      <c r="B241" s="97" t="s">
        <v>6</v>
      </c>
      <c r="C241" s="23"/>
      <c r="D241" s="118"/>
      <c r="E241" s="118"/>
      <c r="F241" s="292"/>
    </row>
    <row r="242" spans="1:6" ht="18">
      <c r="A242" s="204"/>
      <c r="B242" s="98" t="s">
        <v>34</v>
      </c>
      <c r="C242" s="23" t="s">
        <v>8</v>
      </c>
      <c r="D242" s="118">
        <f>D235/16</f>
        <v>4.6749999999999998</v>
      </c>
      <c r="E242" s="118">
        <v>6088.08</v>
      </c>
      <c r="F242" s="292">
        <f>D242*E242</f>
        <v>28461.773999999998</v>
      </c>
    </row>
    <row r="243" spans="1:6" ht="18">
      <c r="A243" s="204"/>
      <c r="B243" s="98" t="s">
        <v>7</v>
      </c>
      <c r="C243" s="23" t="s">
        <v>8</v>
      </c>
      <c r="D243" s="118">
        <f>D242*2</f>
        <v>9.35</v>
      </c>
      <c r="E243" s="118">
        <v>4000</v>
      </c>
      <c r="F243" s="292">
        <f>D243*E243</f>
        <v>37400</v>
      </c>
    </row>
    <row r="244" spans="1:6" ht="19.5">
      <c r="A244" s="168"/>
      <c r="B244" s="97" t="s">
        <v>9</v>
      </c>
      <c r="C244" s="28"/>
      <c r="D244" s="121"/>
      <c r="E244" s="121"/>
      <c r="F244" s="293">
        <f>SUM(F242:F243)</f>
        <v>65861.774000000005</v>
      </c>
    </row>
    <row r="245" spans="1:6" ht="19.5">
      <c r="A245" s="168"/>
      <c r="B245" s="97"/>
      <c r="C245" s="28"/>
      <c r="D245" s="121"/>
      <c r="E245" s="121"/>
      <c r="F245" s="293"/>
    </row>
    <row r="246" spans="1:6" s="90" customFormat="1" ht="19.5">
      <c r="A246" s="168">
        <v>13</v>
      </c>
      <c r="B246" s="484" t="s">
        <v>48</v>
      </c>
      <c r="C246" s="484"/>
      <c r="D246" s="484"/>
      <c r="E246" s="484"/>
      <c r="F246" s="485"/>
    </row>
    <row r="247" spans="1:6" ht="18">
      <c r="A247" s="205">
        <v>13.01</v>
      </c>
      <c r="B247" s="16" t="s">
        <v>49</v>
      </c>
      <c r="C247" s="35" t="s">
        <v>50</v>
      </c>
      <c r="D247" s="125">
        <f>(27.6*3)-(7.56+2.45)</f>
        <v>72.790000000000006</v>
      </c>
      <c r="E247" s="138">
        <f>F247/D247</f>
        <v>3911.1605423728815</v>
      </c>
      <c r="F247" s="153">
        <f>F251+F256</f>
        <v>284693.37587932206</v>
      </c>
    </row>
    <row r="248" spans="1:6" ht="18">
      <c r="A248" s="204"/>
      <c r="B248" s="60" t="s">
        <v>51</v>
      </c>
      <c r="C248" s="44"/>
      <c r="D248" s="133"/>
      <c r="E248" s="133"/>
      <c r="F248" s="155"/>
    </row>
    <row r="249" spans="1:6" ht="18">
      <c r="A249" s="203"/>
      <c r="B249" s="48" t="s">
        <v>52</v>
      </c>
      <c r="C249" s="44" t="s">
        <v>12</v>
      </c>
      <c r="D249" s="118">
        <f>D247*0.015*(1/5)*1.54*(1440/50)</f>
        <v>9.6851462400000017</v>
      </c>
      <c r="E249" s="133">
        <f>11000/1.18</f>
        <v>9322.033898305086</v>
      </c>
      <c r="F249" s="155">
        <f>D249*E249</f>
        <v>90285.261559322069</v>
      </c>
    </row>
    <row r="250" spans="1:6" ht="18">
      <c r="A250" s="239"/>
      <c r="B250" s="48" t="s">
        <v>13</v>
      </c>
      <c r="C250" s="44" t="s">
        <v>28</v>
      </c>
      <c r="D250" s="118">
        <f>D247*0.015*1.54*(4/5)</f>
        <v>1.3451592000000001</v>
      </c>
      <c r="E250" s="133">
        <v>25000</v>
      </c>
      <c r="F250" s="155">
        <f>D250*E250</f>
        <v>33628.980000000003</v>
      </c>
    </row>
    <row r="251" spans="1:6" ht="19.5">
      <c r="A251" s="192"/>
      <c r="B251" s="60" t="s">
        <v>5</v>
      </c>
      <c r="C251" s="61"/>
      <c r="D251" s="121"/>
      <c r="E251" s="135"/>
      <c r="F251" s="162">
        <f>SUM(F249:F250)</f>
        <v>123914.24155932208</v>
      </c>
    </row>
    <row r="252" spans="1:6" ht="18">
      <c r="A252" s="239"/>
      <c r="B252" s="48"/>
      <c r="C252" s="44"/>
      <c r="D252" s="118"/>
      <c r="E252" s="133"/>
      <c r="F252" s="155"/>
    </row>
    <row r="253" spans="1:6" ht="18">
      <c r="A253" s="239"/>
      <c r="B253" s="60" t="s">
        <v>53</v>
      </c>
      <c r="C253" s="44"/>
      <c r="D253" s="133"/>
      <c r="E253" s="133"/>
      <c r="F253" s="155"/>
    </row>
    <row r="254" spans="1:6" ht="18">
      <c r="A254" s="239"/>
      <c r="B254" s="48" t="s">
        <v>34</v>
      </c>
      <c r="C254" s="44" t="s">
        <v>8</v>
      </c>
      <c r="D254" s="118">
        <f>D247/10</f>
        <v>7.2790000000000008</v>
      </c>
      <c r="E254" s="133">
        <v>6088.08</v>
      </c>
      <c r="F254" s="155">
        <f>D254*E254</f>
        <v>44315.134320000005</v>
      </c>
    </row>
    <row r="255" spans="1:6" ht="18">
      <c r="A255" s="239"/>
      <c r="B255" s="48" t="s">
        <v>7</v>
      </c>
      <c r="C255" s="44" t="s">
        <v>8</v>
      </c>
      <c r="D255" s="133">
        <f>D254*4</f>
        <v>29.116000000000003</v>
      </c>
      <c r="E255" s="133">
        <v>4000</v>
      </c>
      <c r="F255" s="155">
        <f>D255*E255</f>
        <v>116464.00000000001</v>
      </c>
    </row>
    <row r="256" spans="1:6" ht="18">
      <c r="A256" s="240"/>
      <c r="B256" s="97" t="s">
        <v>54</v>
      </c>
      <c r="C256" s="49"/>
      <c r="D256" s="141"/>
      <c r="E256" s="141"/>
      <c r="F256" s="162">
        <f>SUM(F254:F255)</f>
        <v>160779.13432000001</v>
      </c>
    </row>
    <row r="257" spans="1:6" ht="18">
      <c r="A257" s="200"/>
      <c r="B257" s="48"/>
      <c r="C257" s="44"/>
      <c r="D257" s="133"/>
      <c r="E257" s="133"/>
      <c r="F257" s="155"/>
    </row>
    <row r="258" spans="1:6" s="90" customFormat="1" ht="19.5">
      <c r="A258" s="192">
        <v>14</v>
      </c>
      <c r="B258" s="104" t="s">
        <v>55</v>
      </c>
      <c r="C258" s="94"/>
      <c r="D258" s="129"/>
      <c r="E258" s="129"/>
      <c r="F258" s="299"/>
    </row>
    <row r="259" spans="1:6" ht="18">
      <c r="A259" s="241">
        <v>14.01</v>
      </c>
      <c r="B259" s="34" t="s">
        <v>49</v>
      </c>
      <c r="C259" s="35" t="s">
        <v>1</v>
      </c>
      <c r="D259" s="125">
        <f>D247</f>
        <v>72.790000000000006</v>
      </c>
      <c r="E259" s="138">
        <f>F259/D259</f>
        <v>2189.9299999999998</v>
      </c>
      <c r="F259" s="153">
        <f>F267+F272</f>
        <v>159405.00469999999</v>
      </c>
    </row>
    <row r="260" spans="1:6" ht="18">
      <c r="A260" s="200"/>
      <c r="B260" s="60" t="s">
        <v>2</v>
      </c>
      <c r="C260" s="44"/>
      <c r="D260" s="133"/>
      <c r="E260" s="133"/>
      <c r="F260" s="155"/>
    </row>
    <row r="261" spans="1:6" ht="18">
      <c r="A261" s="242"/>
      <c r="B261" s="48" t="s">
        <v>56</v>
      </c>
      <c r="C261" s="44" t="s">
        <v>57</v>
      </c>
      <c r="D261" s="133">
        <f>D259*0.07*3</f>
        <v>15.285900000000002</v>
      </c>
      <c r="E261" s="133">
        <f>105000/20</f>
        <v>5250</v>
      </c>
      <c r="F261" s="155">
        <f>E261*D261</f>
        <v>80250.975000000006</v>
      </c>
    </row>
    <row r="262" spans="1:6" ht="18">
      <c r="A262" s="239"/>
      <c r="B262" s="48" t="str">
        <f>'[1]Emulsion Paint'!$B$19</f>
        <v>Induit/undercoat ( 2 coats)</v>
      </c>
      <c r="C262" s="44" t="s">
        <v>57</v>
      </c>
      <c r="D262" s="133">
        <f>D259*0.07*2</f>
        <v>10.190600000000002</v>
      </c>
      <c r="E262" s="133">
        <f>20000/20</f>
        <v>1000</v>
      </c>
      <c r="F262" s="155">
        <f t="shared" ref="F262:F266" si="0">E262*D262</f>
        <v>10190.600000000002</v>
      </c>
    </row>
    <row r="263" spans="1:6" ht="18">
      <c r="A263" s="239"/>
      <c r="B263" s="48" t="str">
        <f>'[1]Emulsion Paint'!$B$24</f>
        <v>Roller</v>
      </c>
      <c r="C263" s="44" t="s">
        <v>44</v>
      </c>
      <c r="D263" s="118">
        <f>D259/100</f>
        <v>0.7279000000000001</v>
      </c>
      <c r="E263" s="133">
        <v>2000</v>
      </c>
      <c r="F263" s="155">
        <f t="shared" si="0"/>
        <v>1455.8000000000002</v>
      </c>
    </row>
    <row r="264" spans="1:6" ht="18">
      <c r="A264" s="239"/>
      <c r="B264" s="48" t="str">
        <f>'[1]Emulsion Paint'!$B$23</f>
        <v>Brush</v>
      </c>
      <c r="C264" s="44" t="s">
        <v>44</v>
      </c>
      <c r="D264" s="118">
        <f>D259/100</f>
        <v>0.7279000000000001</v>
      </c>
      <c r="E264" s="133">
        <v>1000</v>
      </c>
      <c r="F264" s="155">
        <f t="shared" si="0"/>
        <v>727.90000000000009</v>
      </c>
    </row>
    <row r="265" spans="1:6" ht="18">
      <c r="A265" s="239"/>
      <c r="B265" s="48" t="s">
        <v>58</v>
      </c>
      <c r="C265" s="44" t="s">
        <v>59</v>
      </c>
      <c r="D265" s="118">
        <f>D259/100</f>
        <v>0.7279000000000001</v>
      </c>
      <c r="E265" s="133">
        <v>500</v>
      </c>
      <c r="F265" s="155">
        <f t="shared" si="0"/>
        <v>363.95000000000005</v>
      </c>
    </row>
    <row r="266" spans="1:6" ht="18">
      <c r="A266" s="239"/>
      <c r="B266" s="48" t="s">
        <v>60</v>
      </c>
      <c r="C266" s="44" t="s">
        <v>44</v>
      </c>
      <c r="D266" s="118">
        <f>D259/50</f>
        <v>1.4558000000000002</v>
      </c>
      <c r="E266" s="133">
        <v>5000</v>
      </c>
      <c r="F266" s="155">
        <f t="shared" si="0"/>
        <v>7279.0000000000009</v>
      </c>
    </row>
    <row r="267" spans="1:6" ht="19.5">
      <c r="A267" s="192"/>
      <c r="B267" s="60" t="s">
        <v>61</v>
      </c>
      <c r="C267" s="61"/>
      <c r="D267" s="121"/>
      <c r="E267" s="135"/>
      <c r="F267" s="162">
        <f>SUM(F261:F266)</f>
        <v>100268.22500000001</v>
      </c>
    </row>
    <row r="268" spans="1:6" ht="18">
      <c r="A268" s="239"/>
      <c r="B268" s="48"/>
      <c r="C268" s="44"/>
      <c r="D268" s="118"/>
      <c r="E268" s="133"/>
      <c r="F268" s="155"/>
    </row>
    <row r="269" spans="1:6" ht="18">
      <c r="A269" s="239"/>
      <c r="B269" s="60" t="s">
        <v>6</v>
      </c>
      <c r="C269" s="44"/>
      <c r="D269" s="133"/>
      <c r="E269" s="133"/>
      <c r="F269" s="155"/>
    </row>
    <row r="270" spans="1:6" ht="18">
      <c r="A270" s="239"/>
      <c r="B270" s="48" t="s">
        <v>7</v>
      </c>
      <c r="C270" s="44" t="s">
        <v>62</v>
      </c>
      <c r="D270" s="133">
        <f>D271</f>
        <v>5.3682625000000002</v>
      </c>
      <c r="E270" s="133">
        <v>4000</v>
      </c>
      <c r="F270" s="155">
        <f>E270*D270</f>
        <v>21473.05</v>
      </c>
    </row>
    <row r="271" spans="1:6" ht="18">
      <c r="A271" s="239"/>
      <c r="B271" s="48" t="s">
        <v>63</v>
      </c>
      <c r="C271" s="44" t="s">
        <v>62</v>
      </c>
      <c r="D271" s="133">
        <f>D259*(0.59/8)</f>
        <v>5.3682625000000002</v>
      </c>
      <c r="E271" s="133">
        <v>7016</v>
      </c>
      <c r="F271" s="155">
        <f>E271*D271</f>
        <v>37663.729700000004</v>
      </c>
    </row>
    <row r="272" spans="1:6" ht="19.5">
      <c r="A272" s="168"/>
      <c r="B272" s="97" t="s">
        <v>9</v>
      </c>
      <c r="C272" s="28"/>
      <c r="D272" s="121"/>
      <c r="E272" s="121"/>
      <c r="F272" s="293">
        <f>SUM(F270:F271)</f>
        <v>59136.779699999999</v>
      </c>
    </row>
    <row r="273" spans="1:6" ht="18">
      <c r="A273" s="243"/>
      <c r="B273" s="106"/>
      <c r="C273" s="47"/>
      <c r="D273" s="128"/>
      <c r="E273" s="128"/>
      <c r="F273" s="300"/>
    </row>
    <row r="274" spans="1:6" s="90" customFormat="1" ht="19.5">
      <c r="A274" s="168">
        <v>15</v>
      </c>
      <c r="B274" s="484" t="s">
        <v>125</v>
      </c>
      <c r="C274" s="484"/>
      <c r="D274" s="484"/>
      <c r="E274" s="484"/>
      <c r="F274" s="485"/>
    </row>
    <row r="275" spans="1:6" ht="18">
      <c r="A275" s="205">
        <v>15.01</v>
      </c>
      <c r="B275" s="16" t="s">
        <v>64</v>
      </c>
      <c r="C275" s="35" t="s">
        <v>50</v>
      </c>
      <c r="D275" s="138">
        <f>(27.6*3)-(7.56+2.45)</f>
        <v>72.790000000000006</v>
      </c>
      <c r="E275" s="138">
        <f>F275/D275</f>
        <v>4012.2128192090404</v>
      </c>
      <c r="F275" s="153">
        <f>F280+F285</f>
        <v>292048.97111022606</v>
      </c>
    </row>
    <row r="276" spans="1:6" ht="18">
      <c r="A276" s="204"/>
      <c r="B276" s="60" t="s">
        <v>51</v>
      </c>
      <c r="C276" s="44"/>
      <c r="D276" s="133"/>
      <c r="E276" s="133"/>
      <c r="F276" s="155"/>
    </row>
    <row r="277" spans="1:6" ht="18">
      <c r="A277" s="203"/>
      <c r="B277" s="48" t="s">
        <v>52</v>
      </c>
      <c r="C277" s="44" t="s">
        <v>12</v>
      </c>
      <c r="D277" s="118">
        <f>D275*0.01*(1/4)*1.54*(1440/50)+(D275*0.003*(1/6)*1.57*(1440/50))</f>
        <v>9.7165915200000015</v>
      </c>
      <c r="E277" s="133">
        <f>11000/1.18</f>
        <v>9322.033898305086</v>
      </c>
      <c r="F277" s="155">
        <f>D277*E277</f>
        <v>90578.395525423752</v>
      </c>
    </row>
    <row r="278" spans="1:6" ht="18">
      <c r="A278" s="239"/>
      <c r="B278" s="48" t="s">
        <v>13</v>
      </c>
      <c r="C278" s="44" t="s">
        <v>28</v>
      </c>
      <c r="D278" s="118">
        <f>D275*0.01*1.5*1.54*(3/4)</f>
        <v>1.2610867500000003</v>
      </c>
      <c r="E278" s="133">
        <v>25000</v>
      </c>
      <c r="F278" s="155">
        <f>D278*E278</f>
        <v>31527.168750000008</v>
      </c>
    </row>
    <row r="279" spans="1:6" ht="18">
      <c r="A279" s="239"/>
      <c r="B279" s="48" t="s">
        <v>65</v>
      </c>
      <c r="C279" s="44" t="s">
        <v>31</v>
      </c>
      <c r="D279" s="118">
        <f>D275*0.003*(5/6)*1.57*(1440/50)</f>
        <v>8.2281816000000028</v>
      </c>
      <c r="E279" s="133">
        <f>9000/1.18</f>
        <v>7627.1186440677966</v>
      </c>
      <c r="F279" s="155">
        <f>D279*E279</f>
        <v>62757.317288135615</v>
      </c>
    </row>
    <row r="280" spans="1:6" ht="19.5">
      <c r="A280" s="192"/>
      <c r="B280" s="60" t="s">
        <v>5</v>
      </c>
      <c r="C280" s="61"/>
      <c r="D280" s="121"/>
      <c r="E280" s="135"/>
      <c r="F280" s="162">
        <f>SUM(F277:F279)</f>
        <v>184862.88156355938</v>
      </c>
    </row>
    <row r="281" spans="1:6" ht="18">
      <c r="A281" s="239"/>
      <c r="B281" s="48"/>
      <c r="C281" s="44"/>
      <c r="D281" s="118"/>
      <c r="E281" s="133"/>
      <c r="F281" s="155"/>
    </row>
    <row r="282" spans="1:6" ht="18">
      <c r="A282" s="92"/>
      <c r="B282" s="60" t="s">
        <v>53</v>
      </c>
      <c r="C282" s="44"/>
      <c r="D282" s="133"/>
      <c r="E282" s="133"/>
      <c r="F282" s="155"/>
    </row>
    <row r="283" spans="1:6" ht="18">
      <c r="A283" s="92"/>
      <c r="B283" s="48" t="s">
        <v>34</v>
      </c>
      <c r="C283" s="44" t="s">
        <v>8</v>
      </c>
      <c r="D283" s="118">
        <f>D275/15</f>
        <v>4.8526666666666669</v>
      </c>
      <c r="E283" s="133">
        <v>6088.08</v>
      </c>
      <c r="F283" s="155">
        <f>D283*E283</f>
        <v>29543.422880000002</v>
      </c>
    </row>
    <row r="284" spans="1:6" ht="18">
      <c r="A284" s="92"/>
      <c r="B284" s="48" t="s">
        <v>7</v>
      </c>
      <c r="C284" s="44" t="s">
        <v>8</v>
      </c>
      <c r="D284" s="133">
        <f>D283*4</f>
        <v>19.410666666666668</v>
      </c>
      <c r="E284" s="133">
        <v>4000</v>
      </c>
      <c r="F284" s="155">
        <f>D284*E284</f>
        <v>77642.666666666672</v>
      </c>
    </row>
    <row r="285" spans="1:6" ht="19.5">
      <c r="A285" s="93"/>
      <c r="B285" s="97" t="s">
        <v>54</v>
      </c>
      <c r="C285" s="61"/>
      <c r="D285" s="135"/>
      <c r="E285" s="135"/>
      <c r="F285" s="162">
        <f>SUM(F283:F284)</f>
        <v>107186.08954666667</v>
      </c>
    </row>
    <row r="286" spans="1:6" ht="18">
      <c r="A286" s="91"/>
      <c r="B286" s="98"/>
      <c r="C286" s="23"/>
      <c r="D286" s="118"/>
      <c r="E286" s="118"/>
      <c r="F286" s="292"/>
    </row>
    <row r="287" spans="1:6" ht="19.649999999999999" customHeight="1">
      <c r="A287" s="84">
        <v>16</v>
      </c>
      <c r="B287" s="484" t="s">
        <v>143</v>
      </c>
      <c r="C287" s="484"/>
      <c r="D287" s="484"/>
      <c r="E287" s="484"/>
      <c r="F287" s="485"/>
    </row>
    <row r="288" spans="1:6" ht="18">
      <c r="A288" s="208">
        <v>16.010000000000002</v>
      </c>
      <c r="B288" s="16" t="s">
        <v>66</v>
      </c>
      <c r="C288" s="35" t="s">
        <v>1</v>
      </c>
      <c r="D288" s="138">
        <f>D275+D247</f>
        <v>145.58000000000001</v>
      </c>
      <c r="E288" s="138">
        <f>F288/D288</f>
        <v>3900.6992307692303</v>
      </c>
      <c r="F288" s="153">
        <f>F298+F303</f>
        <v>567863.79401538463</v>
      </c>
    </row>
    <row r="289" spans="1:6" ht="18">
      <c r="A289" s="91"/>
      <c r="B289" s="60" t="s">
        <v>2</v>
      </c>
      <c r="C289" s="44"/>
      <c r="D289" s="133"/>
      <c r="E289" s="133"/>
      <c r="F289" s="155"/>
    </row>
    <row r="290" spans="1:6" ht="18">
      <c r="A290" s="91"/>
      <c r="B290" s="48" t="str">
        <f>'[1]Emulsion Paint'!$B$22</f>
        <v>Emulsion paint ( 3 coats)</v>
      </c>
      <c r="C290" s="44" t="s">
        <v>57</v>
      </c>
      <c r="D290" s="133">
        <f>D288*0.07*3</f>
        <v>30.571800000000003</v>
      </c>
      <c r="E290" s="133">
        <f>65000/20</f>
        <v>3250</v>
      </c>
      <c r="F290" s="155">
        <f t="shared" ref="F290:F297" si="1">E290*D290</f>
        <v>99358.35</v>
      </c>
    </row>
    <row r="291" spans="1:6" ht="18">
      <c r="A291" s="231"/>
      <c r="B291" s="48" t="str">
        <f>'[1]Emulsion Paint'!$B$20</f>
        <v>Whiting/stucco ( 2 coats)</v>
      </c>
      <c r="C291" s="44" t="s">
        <v>67</v>
      </c>
      <c r="D291" s="133">
        <f>D288*((50*2)/65)*2</f>
        <v>447.93846153846158</v>
      </c>
      <c r="E291" s="133">
        <f>16000/50</f>
        <v>320</v>
      </c>
      <c r="F291" s="155">
        <f t="shared" si="1"/>
        <v>143340.30769230772</v>
      </c>
    </row>
    <row r="292" spans="1:6" ht="18">
      <c r="A292" s="92"/>
      <c r="B292" s="48" t="str">
        <f>'[1]Emulsion Paint'!$B$19</f>
        <v>Induit/undercoat ( 2 coats)</v>
      </c>
      <c r="C292" s="44" t="s">
        <v>57</v>
      </c>
      <c r="D292" s="133">
        <f>D288*0.07*2</f>
        <v>20.381200000000003</v>
      </c>
      <c r="E292" s="133">
        <f>20000/20</f>
        <v>1000</v>
      </c>
      <c r="F292" s="155">
        <f t="shared" si="1"/>
        <v>20381.200000000004</v>
      </c>
    </row>
    <row r="293" spans="1:6" ht="18">
      <c r="A293" s="92"/>
      <c r="B293" s="48" t="s">
        <v>68</v>
      </c>
      <c r="C293" s="44" t="s">
        <v>57</v>
      </c>
      <c r="D293" s="133">
        <f>D288*((30/65)*2)</f>
        <v>134.38153846153847</v>
      </c>
      <c r="E293" s="133">
        <f>20000/20</f>
        <v>1000</v>
      </c>
      <c r="F293" s="155">
        <f t="shared" si="1"/>
        <v>134381.53846153847</v>
      </c>
    </row>
    <row r="294" spans="1:6" ht="18">
      <c r="A294" s="92"/>
      <c r="B294" s="48" t="str">
        <f>'[1]Emulsion Paint'!$B$21</f>
        <v>Colle</v>
      </c>
      <c r="C294" s="44" t="s">
        <v>69</v>
      </c>
      <c r="D294" s="133">
        <f>D288*((1/65)*2)</f>
        <v>4.4793846153846157</v>
      </c>
      <c r="E294" s="133">
        <f>10500</f>
        <v>10500</v>
      </c>
      <c r="F294" s="155">
        <f t="shared" si="1"/>
        <v>47033.538461538468</v>
      </c>
    </row>
    <row r="295" spans="1:6" ht="18">
      <c r="A295" s="92"/>
      <c r="B295" s="48" t="str">
        <f>'[1]Emulsion Paint'!$B$24</f>
        <v>Roller</v>
      </c>
      <c r="C295" s="44" t="s">
        <v>44</v>
      </c>
      <c r="D295" s="118">
        <f>D288/100</f>
        <v>1.4558000000000002</v>
      </c>
      <c r="E295" s="133">
        <v>2000</v>
      </c>
      <c r="F295" s="155">
        <f t="shared" si="1"/>
        <v>2911.6000000000004</v>
      </c>
    </row>
    <row r="296" spans="1:6" ht="18">
      <c r="A296" s="92"/>
      <c r="B296" s="48" t="str">
        <f>'[1]Emulsion Paint'!$B$23</f>
        <v>Brush</v>
      </c>
      <c r="C296" s="44" t="s">
        <v>44</v>
      </c>
      <c r="D296" s="118">
        <f>D288/100</f>
        <v>1.4558000000000002</v>
      </c>
      <c r="E296" s="133">
        <v>1000</v>
      </c>
      <c r="F296" s="155">
        <f t="shared" si="1"/>
        <v>1455.8000000000002</v>
      </c>
    </row>
    <row r="297" spans="1:6" ht="18">
      <c r="A297" s="92"/>
      <c r="B297" s="48" t="s">
        <v>58</v>
      </c>
      <c r="C297" s="44" t="s">
        <v>59</v>
      </c>
      <c r="D297" s="118">
        <f>D288/100</f>
        <v>1.4558000000000002</v>
      </c>
      <c r="E297" s="133">
        <v>500</v>
      </c>
      <c r="F297" s="155">
        <f t="shared" si="1"/>
        <v>727.90000000000009</v>
      </c>
    </row>
    <row r="298" spans="1:6" ht="19.5">
      <c r="A298" s="93"/>
      <c r="B298" s="60" t="s">
        <v>5</v>
      </c>
      <c r="C298" s="61"/>
      <c r="D298" s="121"/>
      <c r="E298" s="135"/>
      <c r="F298" s="162">
        <f>SUM(F290:F297)</f>
        <v>449590.23461538466</v>
      </c>
    </row>
    <row r="299" spans="1:6" ht="18">
      <c r="A299" s="92"/>
      <c r="B299" s="48"/>
      <c r="C299" s="44"/>
      <c r="D299" s="118"/>
      <c r="E299" s="133"/>
      <c r="F299" s="155"/>
    </row>
    <row r="300" spans="1:6" ht="18">
      <c r="A300" s="92"/>
      <c r="B300" s="60" t="s">
        <v>6</v>
      </c>
      <c r="C300" s="44"/>
      <c r="D300" s="133"/>
      <c r="E300" s="133"/>
      <c r="F300" s="155"/>
    </row>
    <row r="301" spans="1:6" ht="18">
      <c r="A301" s="92"/>
      <c r="B301" s="48" t="s">
        <v>7</v>
      </c>
      <c r="C301" s="44" t="s">
        <v>62</v>
      </c>
      <c r="D301" s="133">
        <f>D302</f>
        <v>10.736525</v>
      </c>
      <c r="E301" s="133">
        <v>4000</v>
      </c>
      <c r="F301" s="155">
        <f>E301*D301</f>
        <v>42946.1</v>
      </c>
    </row>
    <row r="302" spans="1:6" ht="18">
      <c r="A302" s="92"/>
      <c r="B302" s="48" t="s">
        <v>70</v>
      </c>
      <c r="C302" s="44" t="s">
        <v>62</v>
      </c>
      <c r="D302" s="133">
        <f>D288*(0.59/8)</f>
        <v>10.736525</v>
      </c>
      <c r="E302" s="133">
        <v>7016</v>
      </c>
      <c r="F302" s="155">
        <f>E302*D302</f>
        <v>75327.459400000007</v>
      </c>
    </row>
    <row r="303" spans="1:6" ht="19.5">
      <c r="A303" s="93"/>
      <c r="B303" s="60" t="s">
        <v>54</v>
      </c>
      <c r="C303" s="61"/>
      <c r="D303" s="135"/>
      <c r="E303" s="135"/>
      <c r="F303" s="162">
        <f>SUM(F301:F302)</f>
        <v>118273.5594</v>
      </c>
    </row>
    <row r="304" spans="1:6" ht="19.5">
      <c r="A304" s="93"/>
      <c r="B304" s="60"/>
      <c r="C304" s="61"/>
      <c r="D304" s="135"/>
      <c r="E304" s="135"/>
      <c r="F304" s="162"/>
    </row>
    <row r="305" spans="1:6" ht="36" customHeight="1">
      <c r="A305" s="321">
        <v>17</v>
      </c>
      <c r="B305" s="475" t="s">
        <v>133</v>
      </c>
      <c r="C305" s="475"/>
      <c r="D305" s="475"/>
      <c r="E305" s="475"/>
      <c r="F305" s="476"/>
    </row>
    <row r="306" spans="1:6" ht="18">
      <c r="A306" s="1">
        <v>17.010000000000002</v>
      </c>
      <c r="B306" s="2" t="s">
        <v>132</v>
      </c>
      <c r="C306" s="274" t="s">
        <v>131</v>
      </c>
      <c r="D306" s="272">
        <v>2</v>
      </c>
      <c r="E306" s="266"/>
      <c r="F306" s="307">
        <f>F309+F314</f>
        <v>1046760</v>
      </c>
    </row>
    <row r="307" spans="1:6" ht="18">
      <c r="A307" s="229"/>
      <c r="B307" s="8" t="s">
        <v>29</v>
      </c>
      <c r="C307" s="9"/>
      <c r="D307" s="133"/>
      <c r="E307" s="133"/>
      <c r="F307" s="155"/>
    </row>
    <row r="308" spans="1:6" ht="18">
      <c r="A308" s="86"/>
      <c r="B308" s="13" t="s">
        <v>145</v>
      </c>
      <c r="C308" s="9" t="s">
        <v>146</v>
      </c>
      <c r="D308" s="133">
        <v>2</v>
      </c>
      <c r="E308" s="133">
        <v>510000</v>
      </c>
      <c r="F308" s="155">
        <f>+D308*E308</f>
        <v>1020000</v>
      </c>
    </row>
    <row r="309" spans="1:6" ht="19.5">
      <c r="A309" s="87"/>
      <c r="B309" s="8" t="s">
        <v>5</v>
      </c>
      <c r="C309" s="12"/>
      <c r="D309" s="135"/>
      <c r="E309" s="135"/>
      <c r="F309" s="162">
        <f>F308</f>
        <v>1020000</v>
      </c>
    </row>
    <row r="310" spans="1:6" ht="18">
      <c r="A310" s="86"/>
      <c r="B310" s="13"/>
      <c r="C310" s="9"/>
      <c r="D310" s="133"/>
      <c r="E310" s="133"/>
      <c r="F310" s="155"/>
    </row>
    <row r="311" spans="1:6" ht="18">
      <c r="A311" s="230"/>
      <c r="B311" s="8" t="s">
        <v>33</v>
      </c>
      <c r="C311" s="9"/>
      <c r="D311" s="133"/>
      <c r="E311" s="133"/>
      <c r="F311" s="155"/>
    </row>
    <row r="312" spans="1:6" ht="18">
      <c r="A312" s="86"/>
      <c r="B312" s="13" t="s">
        <v>34</v>
      </c>
      <c r="C312" s="9" t="s">
        <v>21</v>
      </c>
      <c r="D312" s="118">
        <f>D306/2</f>
        <v>1</v>
      </c>
      <c r="E312" s="133">
        <v>10760</v>
      </c>
      <c r="F312" s="155">
        <f>+D312*E312</f>
        <v>10760</v>
      </c>
    </row>
    <row r="313" spans="1:6" ht="18">
      <c r="A313" s="86"/>
      <c r="B313" s="13" t="s">
        <v>7</v>
      </c>
      <c r="C313" s="9" t="s">
        <v>21</v>
      </c>
      <c r="D313" s="118">
        <f>+D312*4</f>
        <v>4</v>
      </c>
      <c r="E313" s="133">
        <v>4000</v>
      </c>
      <c r="F313" s="155">
        <f>+D313*E313</f>
        <v>16000</v>
      </c>
    </row>
    <row r="314" spans="1:6" ht="19.5">
      <c r="A314" s="87"/>
      <c r="B314" s="8" t="s">
        <v>39</v>
      </c>
      <c r="C314" s="12"/>
      <c r="D314" s="135"/>
      <c r="E314" s="135"/>
      <c r="F314" s="162">
        <f>SUM(F312:F313)</f>
        <v>26760</v>
      </c>
    </row>
    <row r="315" spans="1:6">
      <c r="A315" s="322"/>
      <c r="B315" s="48"/>
      <c r="C315" s="311"/>
      <c r="D315" s="323"/>
      <c r="E315" s="323"/>
      <c r="F315" s="314"/>
    </row>
    <row r="316" spans="1:6" ht="37.4" customHeight="1">
      <c r="A316" s="321">
        <v>18</v>
      </c>
      <c r="B316" s="475" t="s">
        <v>134</v>
      </c>
      <c r="C316" s="475"/>
      <c r="D316" s="475"/>
      <c r="E316" s="475"/>
      <c r="F316" s="476"/>
    </row>
    <row r="317" spans="1:6" ht="18">
      <c r="A317" s="1">
        <v>18.010000000000002</v>
      </c>
      <c r="B317" s="2" t="s">
        <v>135</v>
      </c>
      <c r="C317" s="274" t="s">
        <v>131</v>
      </c>
      <c r="D317" s="272">
        <v>2</v>
      </c>
      <c r="E317" s="265">
        <f>F317/D317</f>
        <v>403380</v>
      </c>
      <c r="F317" s="315">
        <f>F320+F325</f>
        <v>806760</v>
      </c>
    </row>
    <row r="318" spans="1:6" ht="18">
      <c r="A318" s="229"/>
      <c r="B318" s="8" t="s">
        <v>29</v>
      </c>
      <c r="C318" s="9"/>
      <c r="D318" s="133"/>
      <c r="E318" s="133"/>
      <c r="F318" s="155"/>
    </row>
    <row r="319" spans="1:6" ht="18">
      <c r="A319" s="86"/>
      <c r="B319" s="13" t="s">
        <v>168</v>
      </c>
      <c r="C319" s="9" t="s">
        <v>146</v>
      </c>
      <c r="D319" s="133">
        <v>1</v>
      </c>
      <c r="E319" s="133">
        <v>780000</v>
      </c>
      <c r="F319" s="155">
        <f>+D319*E319</f>
        <v>780000</v>
      </c>
    </row>
    <row r="320" spans="1:6" ht="19.5">
      <c r="A320" s="87"/>
      <c r="B320" s="8" t="s">
        <v>5</v>
      </c>
      <c r="C320" s="12"/>
      <c r="D320" s="135"/>
      <c r="E320" s="135"/>
      <c r="F320" s="162">
        <f>F319</f>
        <v>780000</v>
      </c>
    </row>
    <row r="321" spans="1:6" ht="18">
      <c r="A321" s="86"/>
      <c r="B321" s="13"/>
      <c r="C321" s="9"/>
      <c r="D321" s="133"/>
      <c r="E321" s="133"/>
      <c r="F321" s="155"/>
    </row>
    <row r="322" spans="1:6" ht="18">
      <c r="A322" s="230"/>
      <c r="B322" s="8" t="s">
        <v>33</v>
      </c>
      <c r="C322" s="9"/>
      <c r="D322" s="133"/>
      <c r="E322" s="133"/>
      <c r="F322" s="155"/>
    </row>
    <row r="323" spans="1:6" ht="18">
      <c r="A323" s="86"/>
      <c r="B323" s="13" t="s">
        <v>34</v>
      </c>
      <c r="C323" s="9" t="s">
        <v>21</v>
      </c>
      <c r="D323" s="118">
        <f>D317/2</f>
        <v>1</v>
      </c>
      <c r="E323" s="133">
        <v>10760</v>
      </c>
      <c r="F323" s="155">
        <f>+D323*E323</f>
        <v>10760</v>
      </c>
    </row>
    <row r="324" spans="1:6" ht="18">
      <c r="A324" s="86"/>
      <c r="B324" s="13" t="s">
        <v>7</v>
      </c>
      <c r="C324" s="9" t="s">
        <v>21</v>
      </c>
      <c r="D324" s="118">
        <f>+D323*4</f>
        <v>4</v>
      </c>
      <c r="E324" s="133">
        <v>4000</v>
      </c>
      <c r="F324" s="155">
        <f>+D324*E324</f>
        <v>16000</v>
      </c>
    </row>
    <row r="325" spans="1:6" ht="19.5">
      <c r="A325" s="87"/>
      <c r="B325" s="8" t="s">
        <v>39</v>
      </c>
      <c r="C325" s="12"/>
      <c r="D325" s="135"/>
      <c r="E325" s="135"/>
      <c r="F325" s="162">
        <f>SUM(F323:F324)</f>
        <v>26760</v>
      </c>
    </row>
    <row r="326" spans="1:6" ht="18">
      <c r="A326" s="1">
        <v>18.02</v>
      </c>
      <c r="B326" s="2" t="s">
        <v>169</v>
      </c>
      <c r="C326" s="274" t="s">
        <v>131</v>
      </c>
      <c r="D326" s="272">
        <v>2</v>
      </c>
      <c r="E326" s="265">
        <f>F326/D326</f>
        <v>406088.51373599999</v>
      </c>
      <c r="F326" s="315">
        <f>F329+F334</f>
        <v>812177.02747199999</v>
      </c>
    </row>
    <row r="327" spans="1:6" ht="18">
      <c r="A327" s="229"/>
      <c r="B327" s="8" t="s">
        <v>29</v>
      </c>
      <c r="C327" s="9"/>
      <c r="D327" s="133"/>
      <c r="E327" s="133"/>
      <c r="F327" s="155"/>
    </row>
    <row r="328" spans="1:6" ht="18">
      <c r="A328" s="86"/>
      <c r="B328" s="48" t="s">
        <v>165</v>
      </c>
      <c r="C328" s="250" t="s">
        <v>131</v>
      </c>
      <c r="D328" s="270">
        <v>2</v>
      </c>
      <c r="E328" s="271">
        <f>0.7*561012.16248</f>
        <v>392708.51373599999</v>
      </c>
      <c r="F328" s="316">
        <f>D328*E328</f>
        <v>785417.02747199999</v>
      </c>
    </row>
    <row r="329" spans="1:6" ht="19.5">
      <c r="A329" s="87"/>
      <c r="B329" s="8" t="s">
        <v>5</v>
      </c>
      <c r="C329" s="12"/>
      <c r="D329" s="135"/>
      <c r="E329" s="135"/>
      <c r="F329" s="162">
        <f>F328</f>
        <v>785417.02747199999</v>
      </c>
    </row>
    <row r="330" spans="1:6" ht="18">
      <c r="A330" s="86"/>
      <c r="B330" s="13"/>
      <c r="C330" s="9"/>
      <c r="D330" s="133"/>
      <c r="E330" s="133"/>
      <c r="F330" s="155"/>
    </row>
    <row r="331" spans="1:6" ht="18">
      <c r="A331" s="230"/>
      <c r="B331" s="8" t="s">
        <v>33</v>
      </c>
      <c r="C331" s="9"/>
      <c r="D331" s="133"/>
      <c r="E331" s="133"/>
      <c r="F331" s="155"/>
    </row>
    <row r="332" spans="1:6" ht="18">
      <c r="A332" s="86"/>
      <c r="B332" s="13" t="s">
        <v>34</v>
      </c>
      <c r="C332" s="9" t="s">
        <v>21</v>
      </c>
      <c r="D332" s="118">
        <f>D326/2</f>
        <v>1</v>
      </c>
      <c r="E332" s="133">
        <v>10760</v>
      </c>
      <c r="F332" s="155">
        <f>+D332*E332</f>
        <v>10760</v>
      </c>
    </row>
    <row r="333" spans="1:6" ht="18">
      <c r="A333" s="86"/>
      <c r="B333" s="13" t="s">
        <v>7</v>
      </c>
      <c r="C333" s="9" t="s">
        <v>21</v>
      </c>
      <c r="D333" s="118">
        <f>+D332*4</f>
        <v>4</v>
      </c>
      <c r="E333" s="133">
        <v>4000</v>
      </c>
      <c r="F333" s="155">
        <f>+D333*E333</f>
        <v>16000</v>
      </c>
    </row>
    <row r="334" spans="1:6" ht="19.5">
      <c r="A334" s="348"/>
      <c r="B334" s="318" t="s">
        <v>39</v>
      </c>
      <c r="C334" s="244"/>
      <c r="D334" s="197"/>
      <c r="E334" s="197"/>
      <c r="F334" s="198">
        <f>SUM(F332:F333)</f>
        <v>26760</v>
      </c>
    </row>
    <row r="335" spans="1:6" s="347" customFormat="1" ht="36.5">
      <c r="A335" s="345"/>
      <c r="B335" s="477" t="s">
        <v>179</v>
      </c>
      <c r="C335" s="477"/>
      <c r="D335" s="477"/>
      <c r="E335" s="477"/>
      <c r="F335" s="346">
        <f>F326+F317+F306+F288+F275+F259+F247+F235+F216+F196+F182+F171+F160+F147+F136+F125+F112+F100+F89+F78+F58+F40+F30+F22+F14+F7+F3</f>
        <v>7210784.3504864471</v>
      </c>
    </row>
  </sheetData>
  <mergeCells count="15">
    <mergeCell ref="B305:F305"/>
    <mergeCell ref="B316:F316"/>
    <mergeCell ref="B335:E335"/>
    <mergeCell ref="B274:F274"/>
    <mergeCell ref="B2:F2"/>
    <mergeCell ref="B13:F13"/>
    <mergeCell ref="B39:F39"/>
    <mergeCell ref="B77:F77"/>
    <mergeCell ref="B124:F124"/>
    <mergeCell ref="B287:F287"/>
    <mergeCell ref="B159:F159"/>
    <mergeCell ref="B181:F181"/>
    <mergeCell ref="B195:F195"/>
    <mergeCell ref="B215:F215"/>
    <mergeCell ref="B246:F2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1"/>
  <sheetViews>
    <sheetView workbookViewId="0">
      <selection activeCell="F351" sqref="F351"/>
    </sheetView>
  </sheetViews>
  <sheetFormatPr defaultColWidth="8.90625" defaultRowHeight="15.5"/>
  <cols>
    <col min="1" max="1" width="8.90625" style="232"/>
    <col min="2" max="2" width="60.36328125" style="107" customWidth="1"/>
    <col min="3" max="3" width="10.08984375" style="110" customWidth="1"/>
    <col min="4" max="4" width="18.08984375" style="80" customWidth="1"/>
    <col min="5" max="5" width="21.08984375" style="285" customWidth="1"/>
    <col min="6" max="6" width="29.08984375" style="285" customWidth="1"/>
  </cols>
  <sheetData>
    <row r="1" spans="1:6" s="70" customFormat="1" ht="37.4" customHeight="1">
      <c r="A1" s="228"/>
      <c r="B1" s="150" t="s">
        <v>120</v>
      </c>
      <c r="C1" s="150" t="s">
        <v>121</v>
      </c>
      <c r="D1" s="150" t="s">
        <v>122</v>
      </c>
      <c r="E1" s="278" t="s">
        <v>123</v>
      </c>
      <c r="F1" s="289" t="s">
        <v>124</v>
      </c>
    </row>
    <row r="2" spans="1:6" ht="19.399999999999999" customHeight="1">
      <c r="A2" s="151">
        <v>1</v>
      </c>
      <c r="B2" s="478" t="s">
        <v>93</v>
      </c>
      <c r="C2" s="478"/>
      <c r="D2" s="478"/>
      <c r="E2" s="478"/>
      <c r="F2" s="479"/>
    </row>
    <row r="3" spans="1:6" ht="18" customHeight="1">
      <c r="A3" s="199">
        <v>1.01</v>
      </c>
      <c r="B3" s="16" t="s">
        <v>94</v>
      </c>
      <c r="C3" s="35" t="s">
        <v>28</v>
      </c>
      <c r="D3" s="222">
        <f>16*0.8*0.4</f>
        <v>5.120000000000001</v>
      </c>
      <c r="E3" s="138">
        <f>SUM(F3)/D3</f>
        <v>4444.4444444444443</v>
      </c>
      <c r="F3" s="153">
        <f>F6</f>
        <v>22755.555555555558</v>
      </c>
    </row>
    <row r="4" spans="1:6" ht="18" customHeight="1">
      <c r="A4" s="200"/>
      <c r="B4" s="8" t="s">
        <v>6</v>
      </c>
      <c r="C4" s="9"/>
      <c r="D4" s="111"/>
      <c r="E4" s="133"/>
      <c r="F4" s="155"/>
    </row>
    <row r="5" spans="1:6" ht="18" customHeight="1">
      <c r="A5" s="200"/>
      <c r="B5" s="13" t="s">
        <v>7</v>
      </c>
      <c r="C5" s="9" t="s">
        <v>8</v>
      </c>
      <c r="D5" s="25">
        <f>D3/0.9</f>
        <v>5.68888888888889</v>
      </c>
      <c r="E5" s="133">
        <v>4000</v>
      </c>
      <c r="F5" s="155">
        <f>+D5*E5</f>
        <v>22755.555555555558</v>
      </c>
    </row>
    <row r="6" spans="1:6" ht="18" customHeight="1">
      <c r="A6" s="174"/>
      <c r="B6" s="60" t="s">
        <v>9</v>
      </c>
      <c r="C6" s="61"/>
      <c r="D6" s="217"/>
      <c r="E6" s="279"/>
      <c r="F6" s="290">
        <f>F5</f>
        <v>22755.555555555558</v>
      </c>
    </row>
    <row r="7" spans="1:6" ht="18" customHeight="1">
      <c r="A7" s="199">
        <v>1.03</v>
      </c>
      <c r="B7" s="16" t="s">
        <v>114</v>
      </c>
      <c r="C7" s="35" t="s">
        <v>28</v>
      </c>
      <c r="D7" s="246">
        <f>(0.75*0.75*1.25)*2</f>
        <v>1.40625</v>
      </c>
      <c r="E7" s="138">
        <f>SUM(F7)/D7</f>
        <v>5640</v>
      </c>
      <c r="F7" s="153">
        <f>F11</f>
        <v>7931.25</v>
      </c>
    </row>
    <row r="8" spans="1:6" ht="18" customHeight="1">
      <c r="A8" s="200"/>
      <c r="B8" s="8" t="s">
        <v>6</v>
      </c>
      <c r="C8" s="9"/>
      <c r="D8" s="25"/>
      <c r="E8" s="133"/>
      <c r="F8" s="155"/>
    </row>
    <row r="9" spans="1:6" ht="18" customHeight="1">
      <c r="A9" s="200"/>
      <c r="B9" s="13" t="s">
        <v>92</v>
      </c>
      <c r="C9" s="9" t="s">
        <v>8</v>
      </c>
      <c r="D9" s="25">
        <f>D10/10</f>
        <v>0.15625</v>
      </c>
      <c r="E9" s="133">
        <v>10760</v>
      </c>
      <c r="F9" s="155">
        <f>D9*E9</f>
        <v>1681.25</v>
      </c>
    </row>
    <row r="10" spans="1:6" ht="18" customHeight="1">
      <c r="A10" s="200"/>
      <c r="B10" s="13" t="s">
        <v>7</v>
      </c>
      <c r="C10" s="9" t="s">
        <v>8</v>
      </c>
      <c r="D10" s="25">
        <f>D7/0.9</f>
        <v>1.5625</v>
      </c>
      <c r="E10" s="133">
        <v>4000</v>
      </c>
      <c r="F10" s="155">
        <f>+D10*E10</f>
        <v>6250</v>
      </c>
    </row>
    <row r="11" spans="1:6" ht="18" customHeight="1">
      <c r="A11" s="174"/>
      <c r="B11" s="60" t="s">
        <v>9</v>
      </c>
      <c r="C11" s="61"/>
      <c r="D11" s="215"/>
      <c r="E11" s="279"/>
      <c r="F11" s="290">
        <f>SUM(F9:F10)</f>
        <v>7931.25</v>
      </c>
    </row>
    <row r="12" spans="1:6" ht="18" customHeight="1">
      <c r="A12" s="201"/>
      <c r="B12" s="60"/>
      <c r="C12" s="44"/>
      <c r="D12" s="113"/>
      <c r="E12" s="280"/>
      <c r="F12" s="291"/>
    </row>
    <row r="13" spans="1:6" ht="34.65" customHeight="1">
      <c r="A13" s="158">
        <v>2</v>
      </c>
      <c r="B13" s="480" t="s">
        <v>0</v>
      </c>
      <c r="C13" s="480"/>
      <c r="D13" s="480"/>
      <c r="E13" s="480"/>
      <c r="F13" s="481"/>
    </row>
    <row r="14" spans="1:6" ht="18" customHeight="1">
      <c r="A14" s="202">
        <v>2.0099999999999998</v>
      </c>
      <c r="B14" s="2" t="s">
        <v>71</v>
      </c>
      <c r="C14" s="3" t="s">
        <v>1</v>
      </c>
      <c r="D14" s="216">
        <f>16*0.4</f>
        <v>6.4</v>
      </c>
      <c r="E14" s="134">
        <f>F14/D14</f>
        <v>1066.6666666666667</v>
      </c>
      <c r="F14" s="160">
        <f>F16+F20</f>
        <v>6826.666666666667</v>
      </c>
    </row>
    <row r="15" spans="1:6" ht="18" customHeight="1">
      <c r="A15" s="200"/>
      <c r="B15" s="8" t="s">
        <v>2</v>
      </c>
      <c r="C15" s="9"/>
      <c r="D15" s="25"/>
      <c r="E15" s="133"/>
      <c r="F15" s="155"/>
    </row>
    <row r="16" spans="1:6" ht="18" customHeight="1">
      <c r="A16" s="200"/>
      <c r="B16" s="48" t="s">
        <v>3</v>
      </c>
      <c r="C16" s="9" t="s">
        <v>4</v>
      </c>
      <c r="D16" s="25">
        <f>D14/10</f>
        <v>0.64</v>
      </c>
      <c r="E16" s="133">
        <v>10000</v>
      </c>
      <c r="F16" s="155">
        <f>D16*E16</f>
        <v>6400</v>
      </c>
    </row>
    <row r="17" spans="1:6" ht="18" customHeight="1">
      <c r="A17" s="170"/>
      <c r="B17" s="60" t="s">
        <v>5</v>
      </c>
      <c r="C17" s="12"/>
      <c r="D17" s="33"/>
      <c r="E17" s="135"/>
      <c r="F17" s="162">
        <f>SUM(F16)</f>
        <v>6400</v>
      </c>
    </row>
    <row r="18" spans="1:6" ht="18" customHeight="1">
      <c r="A18" s="200"/>
      <c r="B18" s="48"/>
      <c r="C18" s="9"/>
      <c r="D18" s="25"/>
      <c r="E18" s="133"/>
      <c r="F18" s="155"/>
    </row>
    <row r="19" spans="1:6" ht="18" customHeight="1">
      <c r="A19" s="200"/>
      <c r="B19" s="8" t="s">
        <v>6</v>
      </c>
      <c r="C19" s="9"/>
      <c r="D19" s="25"/>
      <c r="E19" s="133"/>
      <c r="F19" s="155"/>
    </row>
    <row r="20" spans="1:6" ht="18" customHeight="1">
      <c r="A20" s="200"/>
      <c r="B20" s="13" t="s">
        <v>7</v>
      </c>
      <c r="C20" s="9" t="s">
        <v>8</v>
      </c>
      <c r="D20" s="25">
        <f>D14/60</f>
        <v>0.10666666666666667</v>
      </c>
      <c r="E20" s="133">
        <v>4000</v>
      </c>
      <c r="F20" s="155">
        <f>D20*E20</f>
        <v>426.66666666666669</v>
      </c>
    </row>
    <row r="21" spans="1:6" ht="18" customHeight="1">
      <c r="A21" s="174"/>
      <c r="B21" s="60" t="s">
        <v>9</v>
      </c>
      <c r="C21" s="61"/>
      <c r="D21" s="217"/>
      <c r="E21" s="279"/>
      <c r="F21" s="290">
        <f>F20</f>
        <v>426.66666666666669</v>
      </c>
    </row>
    <row r="22" spans="1:6" ht="18" customHeight="1">
      <c r="A22" s="202">
        <v>2.02</v>
      </c>
      <c r="B22" s="2" t="s">
        <v>97</v>
      </c>
      <c r="C22" s="3" t="s">
        <v>1</v>
      </c>
      <c r="D22" s="216">
        <v>15</v>
      </c>
      <c r="E22" s="134">
        <f>F22/D22</f>
        <v>1066.6666666666667</v>
      </c>
      <c r="F22" s="160">
        <f>F24+F28</f>
        <v>16000</v>
      </c>
    </row>
    <row r="23" spans="1:6" ht="18" customHeight="1">
      <c r="A23" s="200"/>
      <c r="B23" s="8" t="s">
        <v>2</v>
      </c>
      <c r="C23" s="9"/>
      <c r="D23" s="25"/>
      <c r="E23" s="133"/>
      <c r="F23" s="155"/>
    </row>
    <row r="24" spans="1:6" ht="18" customHeight="1">
      <c r="A24" s="200"/>
      <c r="B24" s="48" t="s">
        <v>3</v>
      </c>
      <c r="C24" s="9" t="s">
        <v>4</v>
      </c>
      <c r="D24" s="25">
        <f>D22/10</f>
        <v>1.5</v>
      </c>
      <c r="E24" s="133">
        <v>10000</v>
      </c>
      <c r="F24" s="155">
        <f>D24*E24</f>
        <v>15000</v>
      </c>
    </row>
    <row r="25" spans="1:6" ht="18" customHeight="1">
      <c r="A25" s="170"/>
      <c r="B25" s="60" t="s">
        <v>5</v>
      </c>
      <c r="C25" s="12"/>
      <c r="D25" s="33"/>
      <c r="E25" s="135"/>
      <c r="F25" s="162">
        <f>SUM(F24)</f>
        <v>15000</v>
      </c>
    </row>
    <row r="26" spans="1:6" ht="18" customHeight="1">
      <c r="A26" s="200"/>
      <c r="B26" s="48"/>
      <c r="C26" s="9"/>
      <c r="D26" s="25"/>
      <c r="E26" s="133"/>
      <c r="F26" s="155"/>
    </row>
    <row r="27" spans="1:6" ht="18" customHeight="1">
      <c r="A27" s="200"/>
      <c r="B27" s="8" t="s">
        <v>6</v>
      </c>
      <c r="C27" s="9"/>
      <c r="D27" s="25"/>
      <c r="E27" s="133"/>
      <c r="F27" s="155"/>
    </row>
    <row r="28" spans="1:6" ht="18" customHeight="1">
      <c r="A28" s="200"/>
      <c r="B28" s="13" t="s">
        <v>7</v>
      </c>
      <c r="C28" s="9" t="s">
        <v>8</v>
      </c>
      <c r="D28" s="25">
        <f>D22/60</f>
        <v>0.25</v>
      </c>
      <c r="E28" s="133">
        <v>4000</v>
      </c>
      <c r="F28" s="155">
        <f>D28*E28</f>
        <v>1000</v>
      </c>
    </row>
    <row r="29" spans="1:6" ht="18" customHeight="1">
      <c r="A29" s="174"/>
      <c r="B29" s="60" t="s">
        <v>9</v>
      </c>
      <c r="C29" s="61"/>
      <c r="D29" s="217"/>
      <c r="E29" s="279"/>
      <c r="F29" s="290">
        <f>F28</f>
        <v>1000</v>
      </c>
    </row>
    <row r="30" spans="1:6" ht="18" customHeight="1">
      <c r="A30" s="199">
        <v>2.0299999999999998</v>
      </c>
      <c r="B30" s="16" t="s">
        <v>96</v>
      </c>
      <c r="C30" s="35" t="s">
        <v>1</v>
      </c>
      <c r="D30" s="222">
        <f>(0.75*0.75)*2</f>
        <v>1.125</v>
      </c>
      <c r="E30" s="138">
        <f>SUM(F30)/D30</f>
        <v>1066.6666666666667</v>
      </c>
      <c r="F30" s="153">
        <f>F33+F37</f>
        <v>1200</v>
      </c>
    </row>
    <row r="31" spans="1:6" ht="18" customHeight="1">
      <c r="A31" s="200"/>
      <c r="B31" s="8" t="s">
        <v>2</v>
      </c>
      <c r="C31" s="9"/>
      <c r="D31" s="25"/>
      <c r="E31" s="133"/>
      <c r="F31" s="155"/>
    </row>
    <row r="32" spans="1:6" ht="18" customHeight="1">
      <c r="A32" s="200"/>
      <c r="B32" s="48" t="s">
        <v>3</v>
      </c>
      <c r="C32" s="9" t="s">
        <v>4</v>
      </c>
      <c r="D32" s="25">
        <f>D30/10</f>
        <v>0.1125</v>
      </c>
      <c r="E32" s="133">
        <v>10000</v>
      </c>
      <c r="F32" s="155">
        <f>D32*E32</f>
        <v>1125</v>
      </c>
    </row>
    <row r="33" spans="1:6" ht="18" customHeight="1">
      <c r="A33" s="170"/>
      <c r="B33" s="60" t="s">
        <v>5</v>
      </c>
      <c r="C33" s="12"/>
      <c r="D33" s="33"/>
      <c r="E33" s="135"/>
      <c r="F33" s="162">
        <f>SUM(F32)</f>
        <v>1125</v>
      </c>
    </row>
    <row r="34" spans="1:6" ht="18" customHeight="1">
      <c r="A34" s="170"/>
      <c r="B34" s="60"/>
      <c r="C34" s="12"/>
      <c r="D34" s="33"/>
      <c r="E34" s="135"/>
      <c r="F34" s="162"/>
    </row>
    <row r="35" spans="1:6" ht="18" customHeight="1">
      <c r="A35" s="200"/>
      <c r="B35" s="8" t="s">
        <v>6</v>
      </c>
      <c r="C35" s="9"/>
      <c r="D35" s="25"/>
      <c r="E35" s="133"/>
      <c r="F35" s="155"/>
    </row>
    <row r="36" spans="1:6" ht="18" customHeight="1">
      <c r="A36" s="200"/>
      <c r="B36" s="13" t="s">
        <v>7</v>
      </c>
      <c r="C36" s="9" t="s">
        <v>8</v>
      </c>
      <c r="D36" s="25">
        <f>D30/60</f>
        <v>1.8749999999999999E-2</v>
      </c>
      <c r="E36" s="133">
        <v>4000</v>
      </c>
      <c r="F36" s="155">
        <f>+D36*E36</f>
        <v>75</v>
      </c>
    </row>
    <row r="37" spans="1:6" ht="18" customHeight="1">
      <c r="A37" s="174"/>
      <c r="B37" s="60" t="s">
        <v>9</v>
      </c>
      <c r="C37" s="61"/>
      <c r="D37" s="217"/>
      <c r="E37" s="279"/>
      <c r="F37" s="290">
        <f>SUM(F36:F36)</f>
        <v>75</v>
      </c>
    </row>
    <row r="38" spans="1:6" ht="18" customHeight="1">
      <c r="A38" s="174"/>
      <c r="B38" s="60"/>
      <c r="C38" s="61"/>
      <c r="D38" s="215"/>
      <c r="E38" s="279"/>
      <c r="F38" s="290"/>
    </row>
    <row r="39" spans="1:6" ht="18" customHeight="1">
      <c r="A39" s="163">
        <v>3</v>
      </c>
      <c r="B39" s="482" t="s">
        <v>77</v>
      </c>
      <c r="C39" s="482"/>
      <c r="D39" s="482"/>
      <c r="E39" s="482"/>
      <c r="F39" s="483"/>
    </row>
    <row r="40" spans="1:6" ht="18" customHeight="1">
      <c r="A40" s="199">
        <v>3.01</v>
      </c>
      <c r="B40" s="16" t="s">
        <v>71</v>
      </c>
      <c r="C40" s="3" t="s">
        <v>1</v>
      </c>
      <c r="D40" s="216">
        <f>16*0.4</f>
        <v>6.4</v>
      </c>
      <c r="E40" s="134">
        <f>SUM(F40)/D40</f>
        <v>5296.1648205128222</v>
      </c>
      <c r="F40" s="160">
        <f>F47+F51+F57</f>
        <v>33895.454851282062</v>
      </c>
    </row>
    <row r="41" spans="1:6" ht="18" customHeight="1">
      <c r="A41" s="203"/>
      <c r="B41" s="19"/>
      <c r="C41" s="20" t="s">
        <v>10</v>
      </c>
      <c r="D41" s="225">
        <f>D40*0.05</f>
        <v>0.32000000000000006</v>
      </c>
      <c r="E41" s="136"/>
      <c r="F41" s="165"/>
    </row>
    <row r="42" spans="1:6" ht="18" customHeight="1">
      <c r="A42" s="204"/>
      <c r="B42" s="97" t="s">
        <v>2</v>
      </c>
      <c r="C42" s="23"/>
      <c r="D42" s="25"/>
      <c r="E42" s="133"/>
      <c r="F42" s="292"/>
    </row>
    <row r="43" spans="1:6" ht="18" customHeight="1">
      <c r="A43" s="204"/>
      <c r="B43" s="98" t="s">
        <v>11</v>
      </c>
      <c r="C43" s="23" t="s">
        <v>12</v>
      </c>
      <c r="D43" s="25">
        <f>D41*(1/13)*1.57*(1440/50)</f>
        <v>1.1130092307692312</v>
      </c>
      <c r="E43" s="133">
        <v>12000</v>
      </c>
      <c r="F43" s="292">
        <f>D43*E43</f>
        <v>13356.110769230774</v>
      </c>
    </row>
    <row r="44" spans="1:6" ht="18" customHeight="1">
      <c r="A44" s="204"/>
      <c r="B44" s="98" t="s">
        <v>13</v>
      </c>
      <c r="C44" s="23" t="s">
        <v>10</v>
      </c>
      <c r="D44" s="25">
        <f>D41*(4/13)*1.57</f>
        <v>0.15458461538461543</v>
      </c>
      <c r="E44" s="133">
        <v>25000</v>
      </c>
      <c r="F44" s="292">
        <f>D44*E44</f>
        <v>3864.6153846153857</v>
      </c>
    </row>
    <row r="45" spans="1:6" ht="18" customHeight="1">
      <c r="A45" s="204"/>
      <c r="B45" s="98" t="s">
        <v>14</v>
      </c>
      <c r="C45" s="23" t="s">
        <v>10</v>
      </c>
      <c r="D45" s="25">
        <f>D41*(8/13)*1.57</f>
        <v>0.30916923076923086</v>
      </c>
      <c r="E45" s="133">
        <v>27000</v>
      </c>
      <c r="F45" s="292">
        <f>D45*E45</f>
        <v>8347.5692307692334</v>
      </c>
    </row>
    <row r="46" spans="1:6" ht="18" customHeight="1">
      <c r="A46" s="204"/>
      <c r="B46" s="98" t="s">
        <v>15</v>
      </c>
      <c r="C46" s="23" t="s">
        <v>16</v>
      </c>
      <c r="D46" s="25">
        <f>D50*10</f>
        <v>0.53333333333333344</v>
      </c>
      <c r="E46" s="133">
        <v>1587</v>
      </c>
      <c r="F46" s="292">
        <f>D46*E46</f>
        <v>846.4000000000002</v>
      </c>
    </row>
    <row r="47" spans="1:6" ht="18" customHeight="1">
      <c r="A47" s="168"/>
      <c r="B47" s="97" t="s">
        <v>18</v>
      </c>
      <c r="C47" s="28"/>
      <c r="D47" s="33"/>
      <c r="E47" s="135"/>
      <c r="F47" s="293">
        <f>SUM(F43:F46)</f>
        <v>26414.695384615396</v>
      </c>
    </row>
    <row r="48" spans="1:6" ht="18" customHeight="1">
      <c r="A48" s="204"/>
      <c r="B48" s="98"/>
      <c r="C48" s="23"/>
      <c r="D48" s="25"/>
      <c r="E48" s="133"/>
      <c r="F48" s="292"/>
    </row>
    <row r="49" spans="1:6" ht="18" customHeight="1">
      <c r="A49" s="204"/>
      <c r="B49" s="97" t="s">
        <v>19</v>
      </c>
      <c r="C49" s="23"/>
      <c r="D49" s="25"/>
      <c r="E49" s="133"/>
      <c r="F49" s="292"/>
    </row>
    <row r="50" spans="1:6" ht="18" customHeight="1">
      <c r="A50" s="204"/>
      <c r="B50" s="98" t="s">
        <v>20</v>
      </c>
      <c r="C50" s="23" t="s">
        <v>21</v>
      </c>
      <c r="D50" s="25">
        <f>D41/6</f>
        <v>5.3333333333333344E-2</v>
      </c>
      <c r="E50" s="133">
        <v>50000</v>
      </c>
      <c r="F50" s="292">
        <f>D50*E50</f>
        <v>2666.666666666667</v>
      </c>
    </row>
    <row r="51" spans="1:6" ht="18" customHeight="1">
      <c r="A51" s="168"/>
      <c r="B51" s="97" t="s">
        <v>23</v>
      </c>
      <c r="C51" s="28"/>
      <c r="D51" s="33"/>
      <c r="E51" s="135"/>
      <c r="F51" s="293">
        <f>SUM(F50:F50)</f>
        <v>2666.666666666667</v>
      </c>
    </row>
    <row r="52" spans="1:6" ht="18" customHeight="1">
      <c r="A52" s="204"/>
      <c r="B52" s="98"/>
      <c r="C52" s="23"/>
      <c r="D52" s="25"/>
      <c r="E52" s="133"/>
      <c r="F52" s="292"/>
    </row>
    <row r="53" spans="1:6" ht="18" customHeight="1">
      <c r="A53" s="204"/>
      <c r="B53" s="97" t="s">
        <v>6</v>
      </c>
      <c r="C53" s="23"/>
      <c r="D53" s="25"/>
      <c r="E53" s="133"/>
      <c r="F53" s="292"/>
    </row>
    <row r="54" spans="1:6" ht="18" customHeight="1">
      <c r="A54" s="204"/>
      <c r="B54" s="98" t="s">
        <v>24</v>
      </c>
      <c r="C54" s="23" t="s">
        <v>21</v>
      </c>
      <c r="D54" s="25">
        <f>(D41/6)*2</f>
        <v>0.10666666666666669</v>
      </c>
      <c r="E54" s="133">
        <v>6088.08</v>
      </c>
      <c r="F54" s="292">
        <f>D54*E54</f>
        <v>649.39520000000016</v>
      </c>
    </row>
    <row r="55" spans="1:6" ht="18" customHeight="1">
      <c r="A55" s="204"/>
      <c r="B55" s="98" t="s">
        <v>25</v>
      </c>
      <c r="C55" s="23" t="s">
        <v>21</v>
      </c>
      <c r="D55" s="25">
        <f>(D41/6)*18</f>
        <v>0.96000000000000019</v>
      </c>
      <c r="E55" s="133">
        <v>4000</v>
      </c>
      <c r="F55" s="292">
        <f>D55*E55</f>
        <v>3840.0000000000009</v>
      </c>
    </row>
    <row r="56" spans="1:6" ht="18" customHeight="1">
      <c r="A56" s="204"/>
      <c r="B56" s="98" t="s">
        <v>26</v>
      </c>
      <c r="C56" s="23" t="s">
        <v>21</v>
      </c>
      <c r="D56" s="25">
        <f>D50</f>
        <v>5.3333333333333344E-2</v>
      </c>
      <c r="E56" s="133">
        <v>6088.08</v>
      </c>
      <c r="F56" s="292">
        <f>D56*E56</f>
        <v>324.69760000000008</v>
      </c>
    </row>
    <row r="57" spans="1:6" ht="18" customHeight="1">
      <c r="A57" s="168"/>
      <c r="B57" s="97" t="s">
        <v>27</v>
      </c>
      <c r="C57" s="28"/>
      <c r="D57" s="33"/>
      <c r="E57" s="135"/>
      <c r="F57" s="293">
        <f>SUM(F54:F56)</f>
        <v>4814.0928000000013</v>
      </c>
    </row>
    <row r="58" spans="1:6" ht="18" customHeight="1">
      <c r="A58" s="199">
        <v>3.02</v>
      </c>
      <c r="B58" s="16" t="s">
        <v>98</v>
      </c>
      <c r="C58" s="3" t="s">
        <v>1</v>
      </c>
      <c r="D58" s="216">
        <f>(0.75*0.75)*2</f>
        <v>1.125</v>
      </c>
      <c r="E58" s="134">
        <f>SUM(F58)/D58</f>
        <v>5296.1648205128204</v>
      </c>
      <c r="F58" s="160">
        <f>F65+F69+F75</f>
        <v>5958.1854230769231</v>
      </c>
    </row>
    <row r="59" spans="1:6" ht="18" customHeight="1">
      <c r="A59" s="203"/>
      <c r="B59" s="19"/>
      <c r="C59" s="20" t="s">
        <v>10</v>
      </c>
      <c r="D59" s="225">
        <f>D58*0.05</f>
        <v>5.6250000000000001E-2</v>
      </c>
      <c r="E59" s="136"/>
      <c r="F59" s="165"/>
    </row>
    <row r="60" spans="1:6" ht="18" customHeight="1">
      <c r="A60" s="204"/>
      <c r="B60" s="97" t="s">
        <v>2</v>
      </c>
      <c r="C60" s="23"/>
      <c r="D60" s="25"/>
      <c r="E60" s="133"/>
      <c r="F60" s="292"/>
    </row>
    <row r="61" spans="1:6" ht="18" customHeight="1">
      <c r="A61" s="204"/>
      <c r="B61" s="98" t="s">
        <v>11</v>
      </c>
      <c r="C61" s="23" t="s">
        <v>12</v>
      </c>
      <c r="D61" s="25">
        <f>D59*(1/13)*1.57*(1440/50)</f>
        <v>0.19564615384615386</v>
      </c>
      <c r="E61" s="133">
        <v>12000</v>
      </c>
      <c r="F61" s="292">
        <f>D61*E61</f>
        <v>2347.7538461538461</v>
      </c>
    </row>
    <row r="62" spans="1:6" ht="18" customHeight="1">
      <c r="A62" s="204"/>
      <c r="B62" s="98" t="s">
        <v>13</v>
      </c>
      <c r="C62" s="23" t="s">
        <v>10</v>
      </c>
      <c r="D62" s="25">
        <f>D59*(4/13)*1.57</f>
        <v>2.7173076923076925E-2</v>
      </c>
      <c r="E62" s="133">
        <v>25000</v>
      </c>
      <c r="F62" s="292">
        <f>D62*E62</f>
        <v>679.32692307692309</v>
      </c>
    </row>
    <row r="63" spans="1:6" ht="18" customHeight="1">
      <c r="A63" s="204"/>
      <c r="B63" s="98" t="s">
        <v>14</v>
      </c>
      <c r="C63" s="23" t="s">
        <v>10</v>
      </c>
      <c r="D63" s="25">
        <f>D59*(8/13)*1.57</f>
        <v>5.434615384615385E-2</v>
      </c>
      <c r="E63" s="133">
        <v>27000</v>
      </c>
      <c r="F63" s="292">
        <f>D63*E63</f>
        <v>1467.346153846154</v>
      </c>
    </row>
    <row r="64" spans="1:6" ht="18" customHeight="1">
      <c r="A64" s="204"/>
      <c r="B64" s="98" t="s">
        <v>15</v>
      </c>
      <c r="C64" s="23" t="s">
        <v>16</v>
      </c>
      <c r="D64" s="25">
        <f>D68*10</f>
        <v>9.375E-2</v>
      </c>
      <c r="E64" s="133">
        <v>1587</v>
      </c>
      <c r="F64" s="292">
        <f>D64*E64</f>
        <v>148.78125</v>
      </c>
    </row>
    <row r="65" spans="1:6" ht="18" customHeight="1">
      <c r="A65" s="168"/>
      <c r="B65" s="97" t="s">
        <v>18</v>
      </c>
      <c r="C65" s="28"/>
      <c r="D65" s="33"/>
      <c r="E65" s="135"/>
      <c r="F65" s="293">
        <f>SUM(F61:F64)</f>
        <v>4643.2081730769232</v>
      </c>
    </row>
    <row r="66" spans="1:6" ht="18" customHeight="1">
      <c r="A66" s="204"/>
      <c r="B66" s="98"/>
      <c r="C66" s="23"/>
      <c r="D66" s="25"/>
      <c r="E66" s="133"/>
      <c r="F66" s="292"/>
    </row>
    <row r="67" spans="1:6" ht="18" customHeight="1">
      <c r="A67" s="204"/>
      <c r="B67" s="97" t="s">
        <v>19</v>
      </c>
      <c r="C67" s="23"/>
      <c r="D67" s="25"/>
      <c r="E67" s="133"/>
      <c r="F67" s="292"/>
    </row>
    <row r="68" spans="1:6" ht="18" customHeight="1">
      <c r="A68" s="204"/>
      <c r="B68" s="98" t="s">
        <v>20</v>
      </c>
      <c r="C68" s="23" t="s">
        <v>21</v>
      </c>
      <c r="D68" s="25">
        <f>D59/6</f>
        <v>9.3749999999999997E-3</v>
      </c>
      <c r="E68" s="133">
        <v>50000</v>
      </c>
      <c r="F68" s="292">
        <f>D68*E68</f>
        <v>468.75</v>
      </c>
    </row>
    <row r="69" spans="1:6" ht="18" customHeight="1">
      <c r="A69" s="168"/>
      <c r="B69" s="97" t="s">
        <v>23</v>
      </c>
      <c r="C69" s="28"/>
      <c r="D69" s="33"/>
      <c r="E69" s="135"/>
      <c r="F69" s="293">
        <f>SUM(F68:F68)</f>
        <v>468.75</v>
      </c>
    </row>
    <row r="70" spans="1:6" ht="18" customHeight="1">
      <c r="A70" s="204"/>
      <c r="B70" s="98"/>
      <c r="C70" s="23"/>
      <c r="D70" s="25"/>
      <c r="E70" s="133"/>
      <c r="F70" s="292"/>
    </row>
    <row r="71" spans="1:6" ht="18" customHeight="1">
      <c r="A71" s="204"/>
      <c r="B71" s="97" t="s">
        <v>6</v>
      </c>
      <c r="C71" s="23"/>
      <c r="D71" s="25"/>
      <c r="E71" s="133"/>
      <c r="F71" s="292"/>
    </row>
    <row r="72" spans="1:6" ht="18" customHeight="1">
      <c r="A72" s="204"/>
      <c r="B72" s="98" t="s">
        <v>24</v>
      </c>
      <c r="C72" s="23" t="s">
        <v>21</v>
      </c>
      <c r="D72" s="25">
        <f>(D59/6)*2</f>
        <v>1.8749999999999999E-2</v>
      </c>
      <c r="E72" s="133">
        <v>6088.08</v>
      </c>
      <c r="F72" s="292">
        <f>D72*E72</f>
        <v>114.1515</v>
      </c>
    </row>
    <row r="73" spans="1:6" ht="18" customHeight="1">
      <c r="A73" s="204"/>
      <c r="B73" s="98" t="s">
        <v>25</v>
      </c>
      <c r="C73" s="23" t="s">
        <v>21</v>
      </c>
      <c r="D73" s="25">
        <f>(D59/6)*18</f>
        <v>0.16874999999999998</v>
      </c>
      <c r="E73" s="133">
        <v>4000</v>
      </c>
      <c r="F73" s="292">
        <f>D73*E73</f>
        <v>674.99999999999989</v>
      </c>
    </row>
    <row r="74" spans="1:6" ht="18" customHeight="1">
      <c r="A74" s="204"/>
      <c r="B74" s="98" t="s">
        <v>26</v>
      </c>
      <c r="C74" s="23" t="s">
        <v>21</v>
      </c>
      <c r="D74" s="25">
        <f>D68</f>
        <v>9.3749999999999997E-3</v>
      </c>
      <c r="E74" s="133">
        <v>6088.08</v>
      </c>
      <c r="F74" s="292">
        <f>D74*E74</f>
        <v>57.075749999999999</v>
      </c>
    </row>
    <row r="75" spans="1:6" ht="18" customHeight="1">
      <c r="A75" s="168"/>
      <c r="B75" s="97" t="s">
        <v>27</v>
      </c>
      <c r="C75" s="28"/>
      <c r="D75" s="33"/>
      <c r="E75" s="135"/>
      <c r="F75" s="293">
        <f>SUM(F72:F74)</f>
        <v>846.22724999999991</v>
      </c>
    </row>
    <row r="76" spans="1:6" ht="18" customHeight="1">
      <c r="A76" s="168"/>
      <c r="B76" s="97"/>
      <c r="C76" s="28"/>
      <c r="D76" s="33"/>
      <c r="E76" s="135"/>
      <c r="F76" s="293"/>
    </row>
    <row r="77" spans="1:6" ht="18" customHeight="1">
      <c r="A77" s="168">
        <v>4</v>
      </c>
      <c r="B77" s="484" t="s">
        <v>82</v>
      </c>
      <c r="C77" s="484"/>
      <c r="D77" s="484"/>
      <c r="E77" s="484"/>
      <c r="F77" s="485"/>
    </row>
    <row r="78" spans="1:6" ht="18" customHeight="1">
      <c r="A78" s="199">
        <v>4.01</v>
      </c>
      <c r="B78" s="99" t="s">
        <v>83</v>
      </c>
      <c r="C78" s="69" t="s">
        <v>50</v>
      </c>
      <c r="D78" s="222">
        <f>((0.75*0.2)*4)*2</f>
        <v>1.2000000000000002</v>
      </c>
      <c r="E78" s="138">
        <f>F78/D78</f>
        <v>12874.418832391713</v>
      </c>
      <c r="F78" s="294">
        <f>F83+F88</f>
        <v>15449.302598870059</v>
      </c>
    </row>
    <row r="79" spans="1:6" ht="18" customHeight="1">
      <c r="A79" s="204"/>
      <c r="B79" s="97" t="s">
        <v>2</v>
      </c>
      <c r="C79" s="23"/>
      <c r="D79" s="111"/>
      <c r="E79" s="133"/>
      <c r="F79" s="292"/>
    </row>
    <row r="80" spans="1:6" ht="18" customHeight="1">
      <c r="A80" s="204"/>
      <c r="B80" s="98" t="s">
        <v>84</v>
      </c>
      <c r="C80" s="23" t="s">
        <v>85</v>
      </c>
      <c r="D80" s="25">
        <f>D78/(2.4*1.2)/2</f>
        <v>0.20833333333333337</v>
      </c>
      <c r="E80" s="133">
        <v>32000</v>
      </c>
      <c r="F80" s="292">
        <f>D80*E80</f>
        <v>6666.6666666666679</v>
      </c>
    </row>
    <row r="81" spans="1:6" ht="18" customHeight="1">
      <c r="A81" s="204"/>
      <c r="B81" s="98" t="s">
        <v>86</v>
      </c>
      <c r="C81" s="23" t="s">
        <v>44</v>
      </c>
      <c r="D81" s="25">
        <f>D78*1.5</f>
        <v>1.8000000000000003</v>
      </c>
      <c r="E81" s="133">
        <v>4000</v>
      </c>
      <c r="F81" s="292">
        <f>D81*E81</f>
        <v>7200.0000000000009</v>
      </c>
    </row>
    <row r="82" spans="1:6" ht="18" customHeight="1">
      <c r="A82" s="200"/>
      <c r="B82" s="98" t="s">
        <v>87</v>
      </c>
      <c r="C82" s="23" t="s">
        <v>88</v>
      </c>
      <c r="D82" s="25">
        <f>D78*0.25</f>
        <v>0.30000000000000004</v>
      </c>
      <c r="E82" s="133">
        <f>1500/1.18</f>
        <v>1271.1864406779662</v>
      </c>
      <c r="F82" s="292">
        <f>D82*E82</f>
        <v>381.3559322033899</v>
      </c>
    </row>
    <row r="83" spans="1:6" ht="18" customHeight="1">
      <c r="A83" s="200"/>
      <c r="B83" s="97" t="s">
        <v>89</v>
      </c>
      <c r="C83" s="28"/>
      <c r="D83" s="33"/>
      <c r="E83" s="135"/>
      <c r="F83" s="293">
        <f>SUM(F80:F82)</f>
        <v>14248.022598870059</v>
      </c>
    </row>
    <row r="84" spans="1:6" ht="18" customHeight="1">
      <c r="A84" s="200"/>
      <c r="B84" s="98"/>
      <c r="C84" s="23"/>
      <c r="D84" s="25"/>
      <c r="E84" s="133"/>
      <c r="F84" s="292"/>
    </row>
    <row r="85" spans="1:6" ht="18" customHeight="1">
      <c r="A85" s="201"/>
      <c r="B85" s="97" t="s">
        <v>6</v>
      </c>
      <c r="C85" s="23"/>
      <c r="D85" s="25"/>
      <c r="E85" s="133"/>
      <c r="F85" s="292"/>
    </row>
    <row r="86" spans="1:6" ht="18" customHeight="1">
      <c r="A86" s="201"/>
      <c r="B86" s="98" t="s">
        <v>90</v>
      </c>
      <c r="C86" s="23" t="s">
        <v>21</v>
      </c>
      <c r="D86" s="25">
        <f>D78/15</f>
        <v>8.0000000000000016E-2</v>
      </c>
      <c r="E86" s="133">
        <v>7016</v>
      </c>
      <c r="F86" s="292">
        <f>D86*E86</f>
        <v>561.28000000000009</v>
      </c>
    </row>
    <row r="87" spans="1:6" ht="18" customHeight="1">
      <c r="A87" s="201"/>
      <c r="B87" s="98" t="s">
        <v>25</v>
      </c>
      <c r="C87" s="23" t="s">
        <v>21</v>
      </c>
      <c r="D87" s="25">
        <f>D86*2</f>
        <v>0.16000000000000003</v>
      </c>
      <c r="E87" s="133">
        <v>4000</v>
      </c>
      <c r="F87" s="292">
        <f>D87*E87</f>
        <v>640.00000000000011</v>
      </c>
    </row>
    <row r="88" spans="1:6" ht="18" customHeight="1">
      <c r="A88" s="204"/>
      <c r="B88" s="97" t="s">
        <v>91</v>
      </c>
      <c r="C88" s="28"/>
      <c r="D88" s="112"/>
      <c r="E88" s="135"/>
      <c r="F88" s="293">
        <f>SUM(F86:F87)</f>
        <v>1201.2800000000002</v>
      </c>
    </row>
    <row r="89" spans="1:6" ht="18" customHeight="1">
      <c r="A89" s="199">
        <v>4.0199999999999996</v>
      </c>
      <c r="B89" s="99" t="s">
        <v>118</v>
      </c>
      <c r="C89" s="69" t="s">
        <v>50</v>
      </c>
      <c r="D89" s="222">
        <f>((1.05*0.3)*4)*2</f>
        <v>2.52</v>
      </c>
      <c r="E89" s="138">
        <f>F89/D89</f>
        <v>12874.418832391715</v>
      </c>
      <c r="F89" s="294">
        <f>F94+F99</f>
        <v>32443.53545762712</v>
      </c>
    </row>
    <row r="90" spans="1:6" ht="18" customHeight="1">
      <c r="A90" s="204"/>
      <c r="B90" s="97" t="s">
        <v>2</v>
      </c>
      <c r="C90" s="23"/>
      <c r="D90" s="111"/>
      <c r="E90" s="133"/>
      <c r="F90" s="292"/>
    </row>
    <row r="91" spans="1:6" ht="18" customHeight="1">
      <c r="A91" s="204"/>
      <c r="B91" s="98" t="s">
        <v>84</v>
      </c>
      <c r="C91" s="23" t="s">
        <v>85</v>
      </c>
      <c r="D91" s="25">
        <f>D89/(2.4*1.2)/2</f>
        <v>0.4375</v>
      </c>
      <c r="E91" s="133">
        <v>32000</v>
      </c>
      <c r="F91" s="292">
        <f>D91*E91</f>
        <v>14000</v>
      </c>
    </row>
    <row r="92" spans="1:6" ht="18" customHeight="1">
      <c r="A92" s="204"/>
      <c r="B92" s="98" t="s">
        <v>86</v>
      </c>
      <c r="C92" s="23" t="s">
        <v>44</v>
      </c>
      <c r="D92" s="25">
        <f>D89*1.5</f>
        <v>3.7800000000000002</v>
      </c>
      <c r="E92" s="133">
        <v>4000</v>
      </c>
      <c r="F92" s="292">
        <f>D92*E92</f>
        <v>15120.000000000002</v>
      </c>
    </row>
    <row r="93" spans="1:6" ht="18" customHeight="1">
      <c r="A93" s="200"/>
      <c r="B93" s="98" t="s">
        <v>87</v>
      </c>
      <c r="C93" s="23" t="s">
        <v>88</v>
      </c>
      <c r="D93" s="25">
        <f>D89*0.25</f>
        <v>0.63</v>
      </c>
      <c r="E93" s="133">
        <f>1500/1.18</f>
        <v>1271.1864406779662</v>
      </c>
      <c r="F93" s="292">
        <f>D93*E93</f>
        <v>800.84745762711873</v>
      </c>
    </row>
    <row r="94" spans="1:6" ht="18" customHeight="1">
      <c r="A94" s="200"/>
      <c r="B94" s="97" t="s">
        <v>89</v>
      </c>
      <c r="C94" s="28"/>
      <c r="D94" s="33"/>
      <c r="E94" s="135"/>
      <c r="F94" s="293">
        <f>SUM(F91:F93)</f>
        <v>29920.847457627118</v>
      </c>
    </row>
    <row r="95" spans="1:6" ht="18" customHeight="1">
      <c r="A95" s="200"/>
      <c r="B95" s="98"/>
      <c r="C95" s="23"/>
      <c r="D95" s="25"/>
      <c r="E95" s="133"/>
      <c r="F95" s="292"/>
    </row>
    <row r="96" spans="1:6" ht="18" customHeight="1">
      <c r="A96" s="201"/>
      <c r="B96" s="97" t="s">
        <v>6</v>
      </c>
      <c r="C96" s="23"/>
      <c r="D96" s="25"/>
      <c r="E96" s="133"/>
      <c r="F96" s="292"/>
    </row>
    <row r="97" spans="1:6" ht="18" customHeight="1">
      <c r="A97" s="201"/>
      <c r="B97" s="98" t="s">
        <v>90</v>
      </c>
      <c r="C97" s="23" t="s">
        <v>21</v>
      </c>
      <c r="D97" s="25">
        <f>D89/15</f>
        <v>0.16800000000000001</v>
      </c>
      <c r="E97" s="133">
        <v>7016</v>
      </c>
      <c r="F97" s="292">
        <f>D97*E97</f>
        <v>1178.6880000000001</v>
      </c>
    </row>
    <row r="98" spans="1:6" ht="18" customHeight="1">
      <c r="A98" s="201"/>
      <c r="B98" s="98" t="s">
        <v>25</v>
      </c>
      <c r="C98" s="23" t="s">
        <v>21</v>
      </c>
      <c r="D98" s="25">
        <f>D97*2</f>
        <v>0.33600000000000002</v>
      </c>
      <c r="E98" s="133">
        <v>4000</v>
      </c>
      <c r="F98" s="292">
        <f>D98*E98</f>
        <v>1344</v>
      </c>
    </row>
    <row r="99" spans="1:6" ht="18" customHeight="1">
      <c r="A99" s="204"/>
      <c r="B99" s="97" t="s">
        <v>91</v>
      </c>
      <c r="C99" s="28"/>
      <c r="D99" s="112"/>
      <c r="E99" s="135"/>
      <c r="F99" s="293">
        <f>SUM(F97:F98)</f>
        <v>2522.6880000000001</v>
      </c>
    </row>
    <row r="100" spans="1:6" ht="18" customHeight="1">
      <c r="A100" s="199">
        <v>4.03</v>
      </c>
      <c r="B100" s="99" t="s">
        <v>95</v>
      </c>
      <c r="C100" s="69" t="s">
        <v>36</v>
      </c>
      <c r="D100" s="222">
        <f>((3.1*0.3)*4)*2</f>
        <v>7.4399999999999995</v>
      </c>
      <c r="E100" s="138">
        <f>F100/D100</f>
        <v>12874.418832391715</v>
      </c>
      <c r="F100" s="294">
        <f>F105+F110</f>
        <v>95785.676112994348</v>
      </c>
    </row>
    <row r="101" spans="1:6" ht="18" customHeight="1">
      <c r="A101" s="204"/>
      <c r="B101" s="97" t="s">
        <v>2</v>
      </c>
      <c r="C101" s="23"/>
      <c r="D101" s="111"/>
      <c r="E101" s="133"/>
      <c r="F101" s="292"/>
    </row>
    <row r="102" spans="1:6" ht="18" customHeight="1">
      <c r="A102" s="204"/>
      <c r="B102" s="98" t="s">
        <v>84</v>
      </c>
      <c r="C102" s="23" t="s">
        <v>85</v>
      </c>
      <c r="D102" s="25">
        <f>D100/(2.4*1.2)/2</f>
        <v>1.2916666666666665</v>
      </c>
      <c r="E102" s="133">
        <v>32000</v>
      </c>
      <c r="F102" s="292">
        <f>D102*E102</f>
        <v>41333.333333333328</v>
      </c>
    </row>
    <row r="103" spans="1:6" ht="18" customHeight="1">
      <c r="A103" s="204"/>
      <c r="B103" s="98" t="s">
        <v>86</v>
      </c>
      <c r="C103" s="23" t="s">
        <v>44</v>
      </c>
      <c r="D103" s="25">
        <f>D100*1.5</f>
        <v>11.16</v>
      </c>
      <c r="E103" s="133">
        <v>4000</v>
      </c>
      <c r="F103" s="292">
        <f>D103*E103</f>
        <v>44640</v>
      </c>
    </row>
    <row r="104" spans="1:6" ht="18" customHeight="1">
      <c r="A104" s="200"/>
      <c r="B104" s="98" t="s">
        <v>87</v>
      </c>
      <c r="C104" s="23" t="s">
        <v>88</v>
      </c>
      <c r="D104" s="25">
        <f>D100*0.25</f>
        <v>1.8599999999999999</v>
      </c>
      <c r="E104" s="133">
        <f>1500/1.18</f>
        <v>1271.1864406779662</v>
      </c>
      <c r="F104" s="292">
        <f>D104*E104</f>
        <v>2364.406779661017</v>
      </c>
    </row>
    <row r="105" spans="1:6" ht="18" customHeight="1">
      <c r="A105" s="200"/>
      <c r="B105" s="97" t="s">
        <v>89</v>
      </c>
      <c r="C105" s="28"/>
      <c r="D105" s="33"/>
      <c r="E105" s="135"/>
      <c r="F105" s="293">
        <f>SUM(F102:F104)</f>
        <v>88337.740112994346</v>
      </c>
    </row>
    <row r="106" spans="1:6" ht="18" customHeight="1">
      <c r="A106" s="200"/>
      <c r="B106" s="98"/>
      <c r="C106" s="23"/>
      <c r="D106" s="25"/>
      <c r="E106" s="133"/>
      <c r="F106" s="292"/>
    </row>
    <row r="107" spans="1:6" ht="18" customHeight="1">
      <c r="A107" s="201"/>
      <c r="B107" s="97" t="s">
        <v>6</v>
      </c>
      <c r="C107" s="23"/>
      <c r="D107" s="25"/>
      <c r="E107" s="133"/>
      <c r="F107" s="292"/>
    </row>
    <row r="108" spans="1:6" ht="18" customHeight="1">
      <c r="A108" s="201"/>
      <c r="B108" s="98" t="s">
        <v>90</v>
      </c>
      <c r="C108" s="23" t="s">
        <v>21</v>
      </c>
      <c r="D108" s="25">
        <f>D100/15</f>
        <v>0.49599999999999994</v>
      </c>
      <c r="E108" s="133">
        <v>7016</v>
      </c>
      <c r="F108" s="292">
        <f>D108*E108</f>
        <v>3479.9359999999997</v>
      </c>
    </row>
    <row r="109" spans="1:6" ht="18" customHeight="1">
      <c r="A109" s="201"/>
      <c r="B109" s="98" t="s">
        <v>25</v>
      </c>
      <c r="C109" s="23" t="s">
        <v>21</v>
      </c>
      <c r="D109" s="25">
        <f>D108*2</f>
        <v>0.99199999999999988</v>
      </c>
      <c r="E109" s="133">
        <v>4000</v>
      </c>
      <c r="F109" s="292">
        <f>D109*E109</f>
        <v>3967.9999999999995</v>
      </c>
    </row>
    <row r="110" spans="1:6" ht="18" customHeight="1">
      <c r="A110" s="204"/>
      <c r="B110" s="11" t="s">
        <v>9</v>
      </c>
      <c r="C110" s="28"/>
      <c r="D110" s="112"/>
      <c r="E110" s="135"/>
      <c r="F110" s="293">
        <f>SUM(F108:F109)</f>
        <v>7447.9359999999997</v>
      </c>
    </row>
    <row r="111" spans="1:6" ht="18" customHeight="1">
      <c r="A111" s="204"/>
      <c r="B111" s="11"/>
      <c r="C111" s="28"/>
      <c r="D111" s="112"/>
      <c r="E111" s="135"/>
      <c r="F111" s="293"/>
    </row>
    <row r="112" spans="1:6" ht="18" customHeight="1">
      <c r="A112" s="205">
        <v>5</v>
      </c>
      <c r="B112" s="100" t="s">
        <v>105</v>
      </c>
      <c r="C112" s="69" t="s">
        <v>88</v>
      </c>
      <c r="D112" s="222">
        <v>72.268000000000001</v>
      </c>
      <c r="E112" s="138">
        <f>F112/D112</f>
        <v>1573.0956685499063</v>
      </c>
      <c r="F112" s="294">
        <f>F117+F122</f>
        <v>113684.47777476463</v>
      </c>
    </row>
    <row r="113" spans="1:6" ht="18" customHeight="1">
      <c r="A113" s="204"/>
      <c r="B113" s="97" t="s">
        <v>2</v>
      </c>
      <c r="C113" s="23"/>
      <c r="D113" s="111"/>
      <c r="E113" s="133"/>
      <c r="F113" s="292"/>
    </row>
    <row r="114" spans="1:6" ht="18" customHeight="1">
      <c r="A114" s="204"/>
      <c r="B114" s="98" t="s">
        <v>106</v>
      </c>
      <c r="C114" s="23" t="s">
        <v>88</v>
      </c>
      <c r="D114" s="25">
        <f>D112*1.1</f>
        <v>79.494800000000012</v>
      </c>
      <c r="E114" s="133">
        <f>1300/1.18</f>
        <v>1101.6949152542375</v>
      </c>
      <c r="F114" s="292">
        <f>D114*E114</f>
        <v>87579.016949152574</v>
      </c>
    </row>
    <row r="115" spans="1:6" ht="18" customHeight="1">
      <c r="A115" s="204"/>
      <c r="B115" s="98" t="s">
        <v>107</v>
      </c>
      <c r="C115" s="23" t="s">
        <v>88</v>
      </c>
      <c r="D115" s="25">
        <f>D112*2.5%</f>
        <v>1.8067000000000002</v>
      </c>
      <c r="E115" s="133">
        <f>1300/1.18</f>
        <v>1101.6949152542375</v>
      </c>
      <c r="F115" s="292">
        <f>D115*E115</f>
        <v>1990.4322033898311</v>
      </c>
    </row>
    <row r="116" spans="1:6" ht="18" customHeight="1">
      <c r="A116" s="204"/>
      <c r="B116" s="98"/>
      <c r="C116" s="23"/>
      <c r="D116" s="25"/>
      <c r="E116" s="133"/>
      <c r="F116" s="292"/>
    </row>
    <row r="117" spans="1:6" ht="18" customHeight="1">
      <c r="A117" s="168"/>
      <c r="B117" s="97" t="s">
        <v>108</v>
      </c>
      <c r="C117" s="28"/>
      <c r="D117" s="33"/>
      <c r="E117" s="135"/>
      <c r="F117" s="293">
        <f>SUM(F114:F116)</f>
        <v>89569.449152542409</v>
      </c>
    </row>
    <row r="118" spans="1:6" ht="18" customHeight="1">
      <c r="A118" s="204"/>
      <c r="B118" s="98"/>
      <c r="C118" s="23"/>
      <c r="D118" s="25"/>
      <c r="E118" s="133"/>
      <c r="F118" s="292"/>
    </row>
    <row r="119" spans="1:6" ht="18" customHeight="1">
      <c r="A119" s="204"/>
      <c r="B119" s="97" t="s">
        <v>6</v>
      </c>
      <c r="C119" s="23"/>
      <c r="D119" s="25"/>
      <c r="E119" s="133"/>
      <c r="F119" s="292"/>
    </row>
    <row r="120" spans="1:6" ht="18" customHeight="1">
      <c r="A120" s="204"/>
      <c r="B120" s="98" t="s">
        <v>109</v>
      </c>
      <c r="C120" s="23" t="s">
        <v>8</v>
      </c>
      <c r="D120" s="25">
        <f>D112/45</f>
        <v>1.6059555555555556</v>
      </c>
      <c r="E120" s="133">
        <v>7016</v>
      </c>
      <c r="F120" s="292">
        <f>D120*E120</f>
        <v>11267.384177777778</v>
      </c>
    </row>
    <row r="121" spans="1:6" ht="18" customHeight="1">
      <c r="A121" s="204"/>
      <c r="B121" s="98" t="s">
        <v>110</v>
      </c>
      <c r="C121" s="23" t="s">
        <v>8</v>
      </c>
      <c r="D121" s="25">
        <f>D120*2</f>
        <v>3.2119111111111112</v>
      </c>
      <c r="E121" s="133">
        <v>4000</v>
      </c>
      <c r="F121" s="292">
        <f>D121*E121</f>
        <v>12847.644444444444</v>
      </c>
    </row>
    <row r="122" spans="1:6" ht="18" customHeight="1">
      <c r="A122" s="168"/>
      <c r="B122" s="97" t="s">
        <v>111</v>
      </c>
      <c r="C122" s="28"/>
      <c r="D122" s="112"/>
      <c r="E122" s="135"/>
      <c r="F122" s="293">
        <f>F120+F121</f>
        <v>24115.02862222222</v>
      </c>
    </row>
    <row r="123" spans="1:6" ht="18" customHeight="1">
      <c r="A123" s="168"/>
      <c r="B123" s="97"/>
      <c r="C123" s="28"/>
      <c r="D123" s="112"/>
      <c r="E123" s="135"/>
      <c r="F123" s="293"/>
    </row>
    <row r="124" spans="1:6" ht="18" customHeight="1">
      <c r="A124" s="170">
        <v>6</v>
      </c>
      <c r="B124" s="486" t="s">
        <v>101</v>
      </c>
      <c r="C124" s="486"/>
      <c r="D124" s="486"/>
      <c r="E124" s="486"/>
      <c r="F124" s="487"/>
    </row>
    <row r="125" spans="1:6" ht="18" customHeight="1">
      <c r="A125" s="199">
        <v>6.01</v>
      </c>
      <c r="B125" s="99" t="s">
        <v>102</v>
      </c>
      <c r="C125" s="69" t="s">
        <v>10</v>
      </c>
      <c r="D125" s="222">
        <f>(0.7*0.7*0.15)*2</f>
        <v>0.14699999999999996</v>
      </c>
      <c r="E125" s="138">
        <f>F125/D125</f>
        <v>118514.68000000001</v>
      </c>
      <c r="F125" s="294">
        <f>F128+F135+F132</f>
        <v>17421.657959999997</v>
      </c>
    </row>
    <row r="126" spans="1:6" ht="18" customHeight="1">
      <c r="A126" s="206"/>
      <c r="B126" s="101" t="s">
        <v>2</v>
      </c>
      <c r="C126" s="56"/>
      <c r="D126" s="218"/>
      <c r="E126" s="136"/>
      <c r="F126" s="295"/>
    </row>
    <row r="127" spans="1:6" ht="18" customHeight="1">
      <c r="A127" s="206"/>
      <c r="B127" s="102" t="s">
        <v>99</v>
      </c>
      <c r="C127" s="56" t="s">
        <v>28</v>
      </c>
      <c r="D127" s="225">
        <f>D125*1.1</f>
        <v>0.16169999999999998</v>
      </c>
      <c r="E127" s="136">
        <v>100000</v>
      </c>
      <c r="F127" s="295">
        <f>D127*E127</f>
        <v>16169.999999999998</v>
      </c>
    </row>
    <row r="128" spans="1:6" ht="18" customHeight="1">
      <c r="A128" s="207"/>
      <c r="B128" s="101" t="s">
        <v>100</v>
      </c>
      <c r="C128" s="57"/>
      <c r="D128" s="219"/>
      <c r="E128" s="262"/>
      <c r="F128" s="296">
        <f>F127</f>
        <v>16169.999999999998</v>
      </c>
    </row>
    <row r="129" spans="1:6" ht="18" customHeight="1">
      <c r="A129" s="207"/>
      <c r="B129" s="101"/>
      <c r="C129" s="57"/>
      <c r="D129" s="219"/>
      <c r="E129" s="262"/>
      <c r="F129" s="296"/>
    </row>
    <row r="130" spans="1:6" ht="18" customHeight="1">
      <c r="A130" s="204"/>
      <c r="B130" s="97" t="s">
        <v>19</v>
      </c>
      <c r="C130" s="23"/>
      <c r="D130" s="25"/>
      <c r="E130" s="133"/>
      <c r="F130" s="292"/>
    </row>
    <row r="131" spans="1:6" ht="18" customHeight="1">
      <c r="A131" s="204"/>
      <c r="B131" s="98" t="s">
        <v>22</v>
      </c>
      <c r="C131" s="23" t="s">
        <v>21</v>
      </c>
      <c r="D131" s="25">
        <f>D125/6</f>
        <v>2.4499999999999994E-2</v>
      </c>
      <c r="E131" s="133">
        <v>15000</v>
      </c>
      <c r="F131" s="292">
        <f>D131*E131</f>
        <v>367.49999999999989</v>
      </c>
    </row>
    <row r="132" spans="1:6" ht="18" customHeight="1">
      <c r="A132" s="168"/>
      <c r="B132" s="97" t="s">
        <v>112</v>
      </c>
      <c r="C132" s="28"/>
      <c r="D132" s="33"/>
      <c r="E132" s="135"/>
      <c r="F132" s="293">
        <f>SUM(F131:F131)</f>
        <v>367.49999999999989</v>
      </c>
    </row>
    <row r="133" spans="1:6" ht="18" customHeight="1">
      <c r="A133" s="168"/>
      <c r="B133" s="97"/>
      <c r="C133" s="28"/>
      <c r="D133" s="33"/>
      <c r="E133" s="135"/>
      <c r="F133" s="293"/>
    </row>
    <row r="134" spans="1:6" ht="18" customHeight="1">
      <c r="A134" s="206"/>
      <c r="B134" s="102" t="s">
        <v>26</v>
      </c>
      <c r="C134" s="56" t="s">
        <v>21</v>
      </c>
      <c r="D134" s="225">
        <f>D131</f>
        <v>2.4499999999999994E-2</v>
      </c>
      <c r="E134" s="136">
        <v>6088.08</v>
      </c>
      <c r="F134" s="295">
        <f>D134*E134</f>
        <v>149.15795999999997</v>
      </c>
    </row>
    <row r="135" spans="1:6" ht="18" customHeight="1">
      <c r="A135" s="207"/>
      <c r="B135" s="101" t="s">
        <v>113</v>
      </c>
      <c r="C135" s="57"/>
      <c r="D135" s="219"/>
      <c r="E135" s="262"/>
      <c r="F135" s="296">
        <f>SUM(F131:F134)</f>
        <v>884.15795999999978</v>
      </c>
    </row>
    <row r="136" spans="1:6" ht="18" customHeight="1">
      <c r="A136" s="199">
        <v>6.02</v>
      </c>
      <c r="B136" s="99" t="s">
        <v>103</v>
      </c>
      <c r="C136" s="69" t="s">
        <v>10</v>
      </c>
      <c r="D136" s="222">
        <f>(1*0.25*0.25)*2</f>
        <v>0.125</v>
      </c>
      <c r="E136" s="138">
        <f>F136/D136</f>
        <v>111668.87728000002</v>
      </c>
      <c r="F136" s="294">
        <f>F139+F146+F143</f>
        <v>13958.609660000002</v>
      </c>
    </row>
    <row r="137" spans="1:6" ht="18" customHeight="1">
      <c r="A137" s="206"/>
      <c r="B137" s="101" t="s">
        <v>2</v>
      </c>
      <c r="C137" s="56"/>
      <c r="D137" s="218"/>
      <c r="E137" s="136"/>
      <c r="F137" s="295"/>
    </row>
    <row r="138" spans="1:6" ht="18" customHeight="1">
      <c r="A138" s="206"/>
      <c r="B138" s="102" t="s">
        <v>99</v>
      </c>
      <c r="C138" s="56" t="s">
        <v>28</v>
      </c>
      <c r="D138" s="225">
        <f>D136*1.1</f>
        <v>0.13750000000000001</v>
      </c>
      <c r="E138" s="136">
        <v>100000</v>
      </c>
      <c r="F138" s="295">
        <f>D138*E138</f>
        <v>13750.000000000002</v>
      </c>
    </row>
    <row r="139" spans="1:6" ht="18" customHeight="1">
      <c r="A139" s="207"/>
      <c r="B139" s="101" t="s">
        <v>100</v>
      </c>
      <c r="C139" s="57"/>
      <c r="D139" s="219"/>
      <c r="E139" s="262"/>
      <c r="F139" s="296">
        <f>F138</f>
        <v>13750.000000000002</v>
      </c>
    </row>
    <row r="140" spans="1:6" ht="18" customHeight="1">
      <c r="A140" s="207"/>
      <c r="B140" s="101"/>
      <c r="C140" s="57"/>
      <c r="D140" s="219"/>
      <c r="E140" s="262"/>
      <c r="F140" s="296"/>
    </row>
    <row r="141" spans="1:6" ht="18" customHeight="1">
      <c r="A141" s="204"/>
      <c r="B141" s="97" t="s">
        <v>19</v>
      </c>
      <c r="C141" s="23"/>
      <c r="D141" s="25"/>
      <c r="E141" s="133"/>
      <c r="F141" s="292"/>
    </row>
    <row r="142" spans="1:6" ht="18" customHeight="1">
      <c r="A142" s="204"/>
      <c r="B142" s="98" t="s">
        <v>22</v>
      </c>
      <c r="C142" s="23" t="s">
        <v>21</v>
      </c>
      <c r="D142" s="247">
        <f>D134/6</f>
        <v>4.083333333333332E-3</v>
      </c>
      <c r="E142" s="133">
        <v>15000</v>
      </c>
      <c r="F142" s="292">
        <f>D142*E142</f>
        <v>61.249999999999979</v>
      </c>
    </row>
    <row r="143" spans="1:6" ht="18" customHeight="1">
      <c r="A143" s="168"/>
      <c r="B143" s="97" t="s">
        <v>112</v>
      </c>
      <c r="C143" s="28"/>
      <c r="D143" s="33"/>
      <c r="E143" s="135"/>
      <c r="F143" s="293">
        <f>SUM(F142:F142)</f>
        <v>61.249999999999979</v>
      </c>
    </row>
    <row r="144" spans="1:6" ht="18" customHeight="1">
      <c r="A144" s="168"/>
      <c r="B144" s="97"/>
      <c r="C144" s="28"/>
      <c r="D144" s="33"/>
      <c r="E144" s="135"/>
      <c r="F144" s="293"/>
    </row>
    <row r="145" spans="1:6" ht="18" customHeight="1">
      <c r="A145" s="206"/>
      <c r="B145" s="102" t="s">
        <v>26</v>
      </c>
      <c r="C145" s="56" t="s">
        <v>21</v>
      </c>
      <c r="D145" s="248">
        <f>D142</f>
        <v>4.083333333333332E-3</v>
      </c>
      <c r="E145" s="136">
        <v>6088.08</v>
      </c>
      <c r="F145" s="295">
        <f>D145*E145</f>
        <v>24.859659999999991</v>
      </c>
    </row>
    <row r="146" spans="1:6" ht="18" customHeight="1">
      <c r="A146" s="207"/>
      <c r="B146" s="101" t="s">
        <v>113</v>
      </c>
      <c r="C146" s="57"/>
      <c r="D146" s="219"/>
      <c r="E146" s="262"/>
      <c r="F146" s="296">
        <f>SUM(F142:F145)</f>
        <v>147.35965999999996</v>
      </c>
    </row>
    <row r="147" spans="1:6" ht="18" customHeight="1">
      <c r="A147" s="199">
        <v>6.03</v>
      </c>
      <c r="B147" s="99" t="s">
        <v>104</v>
      </c>
      <c r="C147" s="69" t="s">
        <v>10</v>
      </c>
      <c r="D147" s="222">
        <f>(3*0.25*0.25)*2</f>
        <v>0.375</v>
      </c>
      <c r="E147" s="138">
        <f>F147/D147</f>
        <v>118514.68</v>
      </c>
      <c r="F147" s="294">
        <f>F150+F157+F154</f>
        <v>44443.004999999997</v>
      </c>
    </row>
    <row r="148" spans="1:6" ht="18" customHeight="1">
      <c r="A148" s="206"/>
      <c r="B148" s="101" t="s">
        <v>2</v>
      </c>
      <c r="C148" s="56"/>
      <c r="D148" s="218"/>
      <c r="E148" s="136"/>
      <c r="F148" s="295"/>
    </row>
    <row r="149" spans="1:6" ht="18" customHeight="1">
      <c r="A149" s="206"/>
      <c r="B149" s="102" t="s">
        <v>99</v>
      </c>
      <c r="C149" s="56" t="s">
        <v>28</v>
      </c>
      <c r="D149" s="225">
        <f>D147*1.1</f>
        <v>0.41250000000000003</v>
      </c>
      <c r="E149" s="136">
        <v>100000</v>
      </c>
      <c r="F149" s="295">
        <f>D149*E149</f>
        <v>41250</v>
      </c>
    </row>
    <row r="150" spans="1:6" ht="18" customHeight="1">
      <c r="A150" s="207"/>
      <c r="B150" s="101" t="s">
        <v>100</v>
      </c>
      <c r="C150" s="57"/>
      <c r="D150" s="219"/>
      <c r="E150" s="262"/>
      <c r="F150" s="296">
        <f>F149</f>
        <v>41250</v>
      </c>
    </row>
    <row r="151" spans="1:6" ht="18" customHeight="1">
      <c r="A151" s="207"/>
      <c r="B151" s="101"/>
      <c r="C151" s="57"/>
      <c r="D151" s="219"/>
      <c r="E151" s="262"/>
      <c r="F151" s="296"/>
    </row>
    <row r="152" spans="1:6" ht="18" customHeight="1">
      <c r="A152" s="204"/>
      <c r="B152" s="97" t="s">
        <v>19</v>
      </c>
      <c r="C152" s="23"/>
      <c r="D152" s="25"/>
      <c r="E152" s="133"/>
      <c r="F152" s="292"/>
    </row>
    <row r="153" spans="1:6" ht="18" customHeight="1">
      <c r="A153" s="204"/>
      <c r="B153" s="98" t="s">
        <v>22</v>
      </c>
      <c r="C153" s="23" t="s">
        <v>21</v>
      </c>
      <c r="D153" s="25">
        <f>D147/6</f>
        <v>6.25E-2</v>
      </c>
      <c r="E153" s="133">
        <v>15000</v>
      </c>
      <c r="F153" s="292">
        <f>D153*E153</f>
        <v>937.5</v>
      </c>
    </row>
    <row r="154" spans="1:6" ht="18" customHeight="1">
      <c r="A154" s="168"/>
      <c r="B154" s="97" t="s">
        <v>112</v>
      </c>
      <c r="C154" s="28"/>
      <c r="D154" s="33"/>
      <c r="E154" s="135"/>
      <c r="F154" s="293">
        <f>SUM(F153:F153)</f>
        <v>937.5</v>
      </c>
    </row>
    <row r="155" spans="1:6" ht="18" customHeight="1">
      <c r="A155" s="168"/>
      <c r="B155" s="97"/>
      <c r="C155" s="28"/>
      <c r="D155" s="33"/>
      <c r="E155" s="135"/>
      <c r="F155" s="293"/>
    </row>
    <row r="156" spans="1:6" ht="18" customHeight="1">
      <c r="A156" s="206"/>
      <c r="B156" s="102" t="s">
        <v>26</v>
      </c>
      <c r="C156" s="56" t="s">
        <v>21</v>
      </c>
      <c r="D156" s="225">
        <f>D153</f>
        <v>6.25E-2</v>
      </c>
      <c r="E156" s="136">
        <v>6088.08</v>
      </c>
      <c r="F156" s="295">
        <f>D156*E156</f>
        <v>380.505</v>
      </c>
    </row>
    <row r="157" spans="1:6" ht="18" customHeight="1">
      <c r="A157" s="207"/>
      <c r="B157" s="101" t="s">
        <v>113</v>
      </c>
      <c r="C157" s="57"/>
      <c r="D157" s="219"/>
      <c r="E157" s="262"/>
      <c r="F157" s="296">
        <f>SUM(F153:F156)</f>
        <v>2255.5050000000001</v>
      </c>
    </row>
    <row r="158" spans="1:6" ht="18" customHeight="1">
      <c r="A158" s="207"/>
      <c r="B158" s="101"/>
      <c r="C158" s="57"/>
      <c r="D158" s="219"/>
      <c r="E158" s="262"/>
      <c r="F158" s="296"/>
    </row>
    <row r="159" spans="1:6" ht="18" customHeight="1">
      <c r="A159" s="170">
        <v>7</v>
      </c>
      <c r="B159" s="482" t="s">
        <v>73</v>
      </c>
      <c r="C159" s="482"/>
      <c r="D159" s="482"/>
      <c r="E159" s="482"/>
      <c r="F159" s="483"/>
    </row>
    <row r="160" spans="1:6" ht="18" customHeight="1">
      <c r="A160" s="202">
        <v>7.01</v>
      </c>
      <c r="B160" s="16" t="s">
        <v>71</v>
      </c>
      <c r="C160" s="3" t="s">
        <v>28</v>
      </c>
      <c r="D160" s="216">
        <f>0.4*0.8*16</f>
        <v>5.120000000000001</v>
      </c>
      <c r="E160" s="134">
        <f>SUM(F160)/D160</f>
        <v>66244.523921568616</v>
      </c>
      <c r="F160" s="160">
        <f>F165+F170</f>
        <v>339171.96247843141</v>
      </c>
    </row>
    <row r="161" spans="1:6" ht="18" customHeight="1">
      <c r="A161" s="201"/>
      <c r="B161" s="8" t="s">
        <v>29</v>
      </c>
      <c r="C161" s="9"/>
      <c r="D161" s="211"/>
      <c r="E161" s="133"/>
      <c r="F161" s="155"/>
    </row>
    <row r="162" spans="1:6" ht="18" customHeight="1">
      <c r="A162" s="201"/>
      <c r="B162" s="13" t="s">
        <v>30</v>
      </c>
      <c r="C162" s="9" t="s">
        <v>28</v>
      </c>
      <c r="D162" s="46">
        <f>D160*(10/17)*1.57</f>
        <v>4.7284705882352958</v>
      </c>
      <c r="E162" s="133">
        <v>12000</v>
      </c>
      <c r="F162" s="155">
        <f>+D162*E162</f>
        <v>56741.647058823546</v>
      </c>
    </row>
    <row r="163" spans="1:6" s="90" customFormat="1" ht="18" customHeight="1">
      <c r="A163" s="201"/>
      <c r="B163" s="13" t="s">
        <v>11</v>
      </c>
      <c r="C163" s="9" t="s">
        <v>31</v>
      </c>
      <c r="D163" s="25">
        <f>D160*(1/17)*1.57*(1440/50)</f>
        <v>13.617995294117648</v>
      </c>
      <c r="E163" s="133">
        <v>12000</v>
      </c>
      <c r="F163" s="155">
        <f>E163*D163</f>
        <v>163415.94352941177</v>
      </c>
    </row>
    <row r="164" spans="1:6" ht="18" customHeight="1">
      <c r="A164" s="201"/>
      <c r="B164" s="13" t="s">
        <v>32</v>
      </c>
      <c r="C164" s="9" t="s">
        <v>28</v>
      </c>
      <c r="D164" s="25">
        <f>D160*(6/17)*1.57</f>
        <v>2.8370823529411773</v>
      </c>
      <c r="E164" s="133">
        <v>25000</v>
      </c>
      <c r="F164" s="155">
        <f>E164*D164</f>
        <v>70927.058823529427</v>
      </c>
    </row>
    <row r="165" spans="1:6" ht="18" customHeight="1">
      <c r="A165" s="201"/>
      <c r="B165" s="8" t="s">
        <v>5</v>
      </c>
      <c r="C165" s="9"/>
      <c r="D165" s="46"/>
      <c r="E165" s="133"/>
      <c r="F165" s="162">
        <f>F162+F163+F164</f>
        <v>291084.64941176475</v>
      </c>
    </row>
    <row r="166" spans="1:6" ht="18" customHeight="1">
      <c r="A166" s="201"/>
      <c r="B166" s="13"/>
      <c r="C166" s="9"/>
      <c r="D166" s="46"/>
      <c r="E166" s="133"/>
      <c r="F166" s="155"/>
    </row>
    <row r="167" spans="1:6" ht="18" customHeight="1">
      <c r="A167" s="200"/>
      <c r="B167" s="8" t="s">
        <v>33</v>
      </c>
      <c r="C167" s="9"/>
      <c r="D167" s="46"/>
      <c r="E167" s="133"/>
      <c r="F167" s="155"/>
    </row>
    <row r="168" spans="1:6" ht="18" customHeight="1">
      <c r="A168" s="200"/>
      <c r="B168" s="13" t="s">
        <v>34</v>
      </c>
      <c r="C168" s="9" t="s">
        <v>21</v>
      </c>
      <c r="D168" s="46">
        <f>D160/1.5</f>
        <v>3.413333333333334</v>
      </c>
      <c r="E168" s="133">
        <v>6088.08</v>
      </c>
      <c r="F168" s="155">
        <f>+D168*E168</f>
        <v>20780.646400000005</v>
      </c>
    </row>
    <row r="169" spans="1:6" ht="18" customHeight="1">
      <c r="A169" s="200"/>
      <c r="B169" s="13" t="s">
        <v>7</v>
      </c>
      <c r="C169" s="9" t="s">
        <v>21</v>
      </c>
      <c r="D169" s="46">
        <f>+D168*2</f>
        <v>6.826666666666668</v>
      </c>
      <c r="E169" s="133">
        <v>4000</v>
      </c>
      <c r="F169" s="155">
        <f>+D169*E169</f>
        <v>27306.666666666672</v>
      </c>
    </row>
    <row r="170" spans="1:6" ht="18" customHeight="1">
      <c r="A170" s="168"/>
      <c r="B170" s="97" t="s">
        <v>9</v>
      </c>
      <c r="C170" s="28"/>
      <c r="D170" s="33"/>
      <c r="E170" s="135"/>
      <c r="F170" s="293">
        <f>SUM(F168:F169)</f>
        <v>48087.313066666677</v>
      </c>
    </row>
    <row r="171" spans="1:6" ht="18" customHeight="1">
      <c r="A171" s="199">
        <v>8.01</v>
      </c>
      <c r="B171" s="16" t="s">
        <v>35</v>
      </c>
      <c r="C171" s="35" t="s">
        <v>36</v>
      </c>
      <c r="D171" s="37">
        <f>16*0.25</f>
        <v>4</v>
      </c>
      <c r="E171" s="138">
        <f>SUM(F171)/D171</f>
        <v>1882.5152542372884</v>
      </c>
      <c r="F171" s="153">
        <f>F174+F179</f>
        <v>7530.0610169491538</v>
      </c>
    </row>
    <row r="172" spans="1:6" ht="18" customHeight="1">
      <c r="A172" s="201"/>
      <c r="B172" s="8" t="s">
        <v>29</v>
      </c>
      <c r="C172" s="9"/>
      <c r="D172" s="46"/>
      <c r="E172" s="133"/>
      <c r="F172" s="155"/>
    </row>
    <row r="173" spans="1:6" ht="18" customHeight="1">
      <c r="A173" s="200"/>
      <c r="B173" s="13" t="s">
        <v>37</v>
      </c>
      <c r="C173" s="9" t="s">
        <v>38</v>
      </c>
      <c r="D173" s="46">
        <f>D171</f>
        <v>4</v>
      </c>
      <c r="E173" s="133">
        <f>2000/1.18</f>
        <v>1694.9152542372883</v>
      </c>
      <c r="F173" s="155">
        <f>+D173*E173</f>
        <v>6779.6610169491532</v>
      </c>
    </row>
    <row r="174" spans="1:6" ht="18" customHeight="1">
      <c r="A174" s="170"/>
      <c r="B174" s="8" t="s">
        <v>5</v>
      </c>
      <c r="C174" s="12"/>
      <c r="D174" s="62"/>
      <c r="E174" s="135"/>
      <c r="F174" s="162">
        <f>F173</f>
        <v>6779.6610169491532</v>
      </c>
    </row>
    <row r="175" spans="1:6" ht="18" customHeight="1">
      <c r="A175" s="200"/>
      <c r="B175" s="13"/>
      <c r="C175" s="9"/>
      <c r="D175" s="46"/>
      <c r="E175" s="133"/>
      <c r="F175" s="155"/>
    </row>
    <row r="176" spans="1:6" ht="18" customHeight="1">
      <c r="A176" s="235"/>
      <c r="B176" s="8" t="s">
        <v>33</v>
      </c>
      <c r="C176" s="9"/>
      <c r="D176" s="46"/>
      <c r="E176" s="133"/>
      <c r="F176" s="155"/>
    </row>
    <row r="177" spans="1:6" ht="18" customHeight="1">
      <c r="A177" s="200"/>
      <c r="B177" s="13" t="s">
        <v>34</v>
      </c>
      <c r="C177" s="9" t="s">
        <v>21</v>
      </c>
      <c r="D177" s="25">
        <f>D171/100</f>
        <v>0.04</v>
      </c>
      <c r="E177" s="133">
        <v>10760</v>
      </c>
      <c r="F177" s="155">
        <f>+D177*E177</f>
        <v>430.40000000000003</v>
      </c>
    </row>
    <row r="178" spans="1:6" ht="18" customHeight="1">
      <c r="A178" s="200"/>
      <c r="B178" s="13" t="s">
        <v>7</v>
      </c>
      <c r="C178" s="9" t="s">
        <v>21</v>
      </c>
      <c r="D178" s="46">
        <f>+D177*2</f>
        <v>0.08</v>
      </c>
      <c r="E178" s="133">
        <v>4000</v>
      </c>
      <c r="F178" s="155">
        <f>+D178*E178</f>
        <v>320</v>
      </c>
    </row>
    <row r="179" spans="1:6" ht="18" customHeight="1">
      <c r="A179" s="170"/>
      <c r="B179" s="8" t="s">
        <v>39</v>
      </c>
      <c r="C179" s="12"/>
      <c r="D179" s="62"/>
      <c r="E179" s="135"/>
      <c r="F179" s="162">
        <f>SUM(F177:F178)</f>
        <v>750.40000000000009</v>
      </c>
    </row>
    <row r="180" spans="1:6" ht="18" customHeight="1">
      <c r="A180" s="170"/>
      <c r="B180" s="8"/>
      <c r="C180" s="12"/>
      <c r="D180" s="62"/>
      <c r="E180" s="135"/>
      <c r="F180" s="162"/>
    </row>
    <row r="181" spans="1:6" ht="18" customHeight="1">
      <c r="A181" s="168">
        <v>9</v>
      </c>
      <c r="B181" s="484" t="s">
        <v>72</v>
      </c>
      <c r="C181" s="484"/>
      <c r="D181" s="484"/>
      <c r="E181" s="484"/>
      <c r="F181" s="485"/>
    </row>
    <row r="182" spans="1:6" ht="18" customHeight="1">
      <c r="A182" s="199">
        <v>9.01</v>
      </c>
      <c r="B182" s="16" t="s">
        <v>40</v>
      </c>
      <c r="C182" s="3" t="s">
        <v>1</v>
      </c>
      <c r="D182" s="216">
        <f>((16-5)*3+(1.5*4*2))-(1.8)</f>
        <v>43.2</v>
      </c>
      <c r="E182" s="134">
        <f>SUM(F182)/D182</f>
        <v>15002.706022253744</v>
      </c>
      <c r="F182" s="160">
        <f>F188+F193</f>
        <v>648116.90016136179</v>
      </c>
    </row>
    <row r="183" spans="1:6" ht="18" customHeight="1">
      <c r="A183" s="203"/>
      <c r="B183" s="103"/>
      <c r="C183" s="20" t="s">
        <v>28</v>
      </c>
      <c r="D183" s="248">
        <f>D182*0.2</f>
        <v>8.64</v>
      </c>
      <c r="E183" s="136"/>
      <c r="F183" s="165"/>
    </row>
    <row r="184" spans="1:6" ht="18" customHeight="1">
      <c r="A184" s="200"/>
      <c r="B184" s="8" t="s">
        <v>2</v>
      </c>
      <c r="C184" s="9"/>
      <c r="D184" s="46"/>
      <c r="E184" s="133"/>
      <c r="F184" s="155"/>
    </row>
    <row r="185" spans="1:6" s="90" customFormat="1" ht="18" customHeight="1">
      <c r="A185" s="200"/>
      <c r="B185" s="48" t="s">
        <v>41</v>
      </c>
      <c r="C185" s="9" t="s">
        <v>31</v>
      </c>
      <c r="D185" s="25">
        <f>D183*0.2439*(1/7)*1.54*(1440/50)</f>
        <v>13.351827456000002</v>
      </c>
      <c r="E185" s="133">
        <v>12000</v>
      </c>
      <c r="F185" s="155">
        <f>D185*E185</f>
        <v>160221.92947200002</v>
      </c>
    </row>
    <row r="186" spans="1:6" ht="18" customHeight="1">
      <c r="A186" s="200"/>
      <c r="B186" s="48" t="s">
        <v>42</v>
      </c>
      <c r="C186" s="9" t="s">
        <v>28</v>
      </c>
      <c r="D186" s="25">
        <f>D183*0.2439*(6/7)*1.54</f>
        <v>2.7816307200000003</v>
      </c>
      <c r="E186" s="133">
        <v>25000</v>
      </c>
      <c r="F186" s="155">
        <f>D186*E186</f>
        <v>69540.768000000011</v>
      </c>
    </row>
    <row r="187" spans="1:6" ht="18" customHeight="1">
      <c r="A187" s="200"/>
      <c r="B187" s="48" t="s">
        <v>43</v>
      </c>
      <c r="C187" s="9" t="s">
        <v>44</v>
      </c>
      <c r="D187" s="25">
        <f>D183*1.15/(0.235*0.1125*0.075)</f>
        <v>5011.0638297872347</v>
      </c>
      <c r="E187" s="133">
        <v>50</v>
      </c>
      <c r="F187" s="155">
        <f>D187*E187</f>
        <v>250553.19148936172</v>
      </c>
    </row>
    <row r="188" spans="1:6" ht="18" customHeight="1">
      <c r="A188" s="170"/>
      <c r="B188" s="60" t="s">
        <v>5</v>
      </c>
      <c r="C188" s="12"/>
      <c r="D188" s="33"/>
      <c r="E188" s="135"/>
      <c r="F188" s="162">
        <f>SUM(F185:F187)</f>
        <v>480315.88896136172</v>
      </c>
    </row>
    <row r="189" spans="1:6" ht="18" customHeight="1">
      <c r="A189" s="200"/>
      <c r="B189" s="48"/>
      <c r="C189" s="9"/>
      <c r="D189" s="25"/>
      <c r="E189" s="133"/>
      <c r="F189" s="155"/>
    </row>
    <row r="190" spans="1:6" ht="18" customHeight="1">
      <c r="A190" s="200"/>
      <c r="B190" s="8" t="s">
        <v>6</v>
      </c>
      <c r="C190" s="9"/>
      <c r="D190" s="46"/>
      <c r="E190" s="133"/>
      <c r="F190" s="155"/>
    </row>
    <row r="191" spans="1:6" ht="18" customHeight="1">
      <c r="A191" s="200"/>
      <c r="B191" s="13" t="s">
        <v>34</v>
      </c>
      <c r="C191" s="9" t="s">
        <v>8</v>
      </c>
      <c r="D191" s="46">
        <f>D183/1</f>
        <v>8.64</v>
      </c>
      <c r="E191" s="133">
        <v>6088.08</v>
      </c>
      <c r="F191" s="155">
        <f>D191*E191</f>
        <v>52601.011200000001</v>
      </c>
    </row>
    <row r="192" spans="1:6" ht="18" customHeight="1">
      <c r="A192" s="200"/>
      <c r="B192" s="13" t="s">
        <v>7</v>
      </c>
      <c r="C192" s="9" t="s">
        <v>8</v>
      </c>
      <c r="D192" s="25">
        <f>(D183/1.2)*4</f>
        <v>28.800000000000004</v>
      </c>
      <c r="E192" s="133">
        <v>4000</v>
      </c>
      <c r="F192" s="155">
        <f>D192*E192</f>
        <v>115200.00000000001</v>
      </c>
    </row>
    <row r="193" spans="1:6" ht="18" customHeight="1">
      <c r="A193" s="174"/>
      <c r="B193" s="60" t="s">
        <v>9</v>
      </c>
      <c r="C193" s="61"/>
      <c r="D193" s="108"/>
      <c r="E193" s="279"/>
      <c r="F193" s="290">
        <f>SUM(F191:F192)</f>
        <v>167801.01120000001</v>
      </c>
    </row>
    <row r="194" spans="1:6" ht="18" customHeight="1">
      <c r="A194" s="174"/>
      <c r="B194" s="60"/>
      <c r="C194" s="61"/>
      <c r="D194" s="108"/>
      <c r="E194" s="279"/>
      <c r="F194" s="290"/>
    </row>
    <row r="195" spans="1:6" ht="18" customHeight="1">
      <c r="A195" s="174">
        <v>10</v>
      </c>
      <c r="B195" s="480" t="s">
        <v>79</v>
      </c>
      <c r="C195" s="480"/>
      <c r="D195" s="480"/>
      <c r="E195" s="480"/>
      <c r="F195" s="481"/>
    </row>
    <row r="196" spans="1:6" ht="18" customHeight="1">
      <c r="A196" s="199">
        <v>10.01</v>
      </c>
      <c r="B196" s="2" t="s">
        <v>74</v>
      </c>
      <c r="C196" s="15" t="s">
        <v>45</v>
      </c>
      <c r="D196" s="236">
        <f>5*0.25*0.2</f>
        <v>0.25</v>
      </c>
      <c r="E196" s="281"/>
      <c r="F196" s="160">
        <f>F203+F208+F213</f>
        <v>34300.347270615566</v>
      </c>
    </row>
    <row r="197" spans="1:6" ht="18" customHeight="1">
      <c r="A197" s="235"/>
      <c r="B197" s="177" t="s">
        <v>29</v>
      </c>
      <c r="C197" s="178"/>
      <c r="D197" s="237"/>
      <c r="E197" s="180"/>
      <c r="F197" s="181"/>
    </row>
    <row r="198" spans="1:6" ht="18" customHeight="1">
      <c r="A198" s="235"/>
      <c r="B198" s="182" t="s">
        <v>14</v>
      </c>
      <c r="C198" s="18" t="s">
        <v>45</v>
      </c>
      <c r="D198" s="237">
        <f>D196*(4/7)*1.57</f>
        <v>0.22428571428571428</v>
      </c>
      <c r="E198" s="180">
        <v>32000</v>
      </c>
      <c r="F198" s="181">
        <f>D198*E198</f>
        <v>7177.1428571428569</v>
      </c>
    </row>
    <row r="199" spans="1:6" s="90" customFormat="1" ht="18">
      <c r="A199" s="235"/>
      <c r="B199" s="182" t="s">
        <v>13</v>
      </c>
      <c r="C199" s="18" t="s">
        <v>45</v>
      </c>
      <c r="D199" s="237">
        <f>D196*(2/7)*1.54</f>
        <v>0.11</v>
      </c>
      <c r="E199" s="180">
        <v>25000</v>
      </c>
      <c r="F199" s="181">
        <f>D199*E199</f>
        <v>2750</v>
      </c>
    </row>
    <row r="200" spans="1:6" ht="18">
      <c r="A200" s="235"/>
      <c r="B200" s="182" t="s">
        <v>11</v>
      </c>
      <c r="C200" s="178" t="s">
        <v>12</v>
      </c>
      <c r="D200" s="237">
        <f>D196*(1/7)*1.57*(1440/50)</f>
        <v>1.6148571428571428</v>
      </c>
      <c r="E200" s="180">
        <v>12000</v>
      </c>
      <c r="F200" s="181">
        <f>D200*E200</f>
        <v>19378.285714285714</v>
      </c>
    </row>
    <row r="201" spans="1:6" ht="18">
      <c r="A201" s="206"/>
      <c r="B201" s="102" t="s">
        <v>15</v>
      </c>
      <c r="C201" s="56" t="s">
        <v>16</v>
      </c>
      <c r="D201" s="225">
        <f>D206*10</f>
        <v>0.41666666666666663</v>
      </c>
      <c r="E201" s="136">
        <v>1587</v>
      </c>
      <c r="F201" s="295">
        <f>D201*E201</f>
        <v>661.24999999999989</v>
      </c>
    </row>
    <row r="202" spans="1:6" ht="18">
      <c r="A202" s="206"/>
      <c r="B202" s="102" t="s">
        <v>17</v>
      </c>
      <c r="C202" s="56" t="s">
        <v>16</v>
      </c>
      <c r="D202" s="225">
        <f>D207*5</f>
        <v>0.20833333333333331</v>
      </c>
      <c r="E202" s="136">
        <v>1587</v>
      </c>
      <c r="F202" s="295">
        <f>D202*E202</f>
        <v>330.62499999999994</v>
      </c>
    </row>
    <row r="203" spans="1:6" ht="18">
      <c r="A203" s="235"/>
      <c r="B203" s="177" t="s">
        <v>5</v>
      </c>
      <c r="C203" s="178"/>
      <c r="D203" s="237"/>
      <c r="E203" s="180"/>
      <c r="F203" s="297">
        <f>F198+F199+F200</f>
        <v>29305.428571428572</v>
      </c>
    </row>
    <row r="204" spans="1:6" ht="18">
      <c r="A204" s="235"/>
      <c r="B204" s="182"/>
      <c r="C204" s="178"/>
      <c r="D204" s="237"/>
      <c r="E204" s="180"/>
      <c r="F204" s="181"/>
    </row>
    <row r="205" spans="1:6" ht="18">
      <c r="A205" s="206"/>
      <c r="B205" s="101" t="s">
        <v>19</v>
      </c>
      <c r="C205" s="56"/>
      <c r="D205" s="225"/>
      <c r="E205" s="136"/>
      <c r="F205" s="295"/>
    </row>
    <row r="206" spans="1:6" ht="18">
      <c r="A206" s="206"/>
      <c r="B206" s="102" t="s">
        <v>20</v>
      </c>
      <c r="C206" s="56" t="s">
        <v>21</v>
      </c>
      <c r="D206" s="225">
        <f>D196/6</f>
        <v>4.1666666666666664E-2</v>
      </c>
      <c r="E206" s="136">
        <v>50000</v>
      </c>
      <c r="F206" s="295">
        <f>D206*E206</f>
        <v>2083.333333333333</v>
      </c>
    </row>
    <row r="207" spans="1:6" ht="18">
      <c r="A207" s="206"/>
      <c r="B207" s="102" t="s">
        <v>22</v>
      </c>
      <c r="C207" s="56" t="s">
        <v>21</v>
      </c>
      <c r="D207" s="225">
        <f>D196/6</f>
        <v>4.1666666666666664E-2</v>
      </c>
      <c r="E207" s="136">
        <v>15000</v>
      </c>
      <c r="F207" s="295">
        <f>D207*E207</f>
        <v>625</v>
      </c>
    </row>
    <row r="208" spans="1:6" ht="19.5">
      <c r="A208" s="207"/>
      <c r="B208" s="101" t="s">
        <v>23</v>
      </c>
      <c r="C208" s="57"/>
      <c r="D208" s="219"/>
      <c r="E208" s="262"/>
      <c r="F208" s="296">
        <f>SUM(F206:F207)</f>
        <v>2708.333333333333</v>
      </c>
    </row>
    <row r="209" spans="1:6" ht="19.5">
      <c r="A209" s="207"/>
      <c r="B209" s="101"/>
      <c r="C209" s="57"/>
      <c r="D209" s="219"/>
      <c r="E209" s="262"/>
      <c r="F209" s="296"/>
    </row>
    <row r="210" spans="1:6" ht="18">
      <c r="A210" s="238"/>
      <c r="B210" s="177" t="s">
        <v>33</v>
      </c>
      <c r="C210" s="178"/>
      <c r="D210" s="237"/>
      <c r="E210" s="180"/>
      <c r="F210" s="181"/>
    </row>
    <row r="211" spans="1:6" ht="18">
      <c r="A211" s="238"/>
      <c r="B211" s="182" t="s">
        <v>34</v>
      </c>
      <c r="C211" s="178" t="s">
        <v>21</v>
      </c>
      <c r="D211" s="237">
        <f>D196/1.64</f>
        <v>0.1524390243902439</v>
      </c>
      <c r="E211" s="180">
        <v>7000</v>
      </c>
      <c r="F211" s="181">
        <f>+D211*E211</f>
        <v>1067.0731707317073</v>
      </c>
    </row>
    <row r="212" spans="1:6" ht="18">
      <c r="A212" s="238"/>
      <c r="B212" s="182" t="s">
        <v>7</v>
      </c>
      <c r="C212" s="178" t="s">
        <v>21</v>
      </c>
      <c r="D212" s="237">
        <f>+D211*2</f>
        <v>0.3048780487804878</v>
      </c>
      <c r="E212" s="180">
        <v>4000</v>
      </c>
      <c r="F212" s="181">
        <f>+D212*E212</f>
        <v>1219.5121951219512</v>
      </c>
    </row>
    <row r="213" spans="1:6" ht="19.5">
      <c r="A213" s="188"/>
      <c r="B213" s="177" t="s">
        <v>119</v>
      </c>
      <c r="C213" s="185"/>
      <c r="D213" s="245"/>
      <c r="E213" s="187"/>
      <c r="F213" s="297">
        <f>F211+F212</f>
        <v>2286.5853658536585</v>
      </c>
    </row>
    <row r="214" spans="1:6" ht="18">
      <c r="A214" s="238"/>
      <c r="B214" s="182"/>
      <c r="C214" s="178"/>
      <c r="D214" s="237"/>
      <c r="E214" s="180"/>
      <c r="F214" s="181"/>
    </row>
    <row r="215" spans="1:6" ht="19.5">
      <c r="A215" s="188">
        <v>11</v>
      </c>
      <c r="B215" s="488" t="s">
        <v>76</v>
      </c>
      <c r="C215" s="488"/>
      <c r="D215" s="488"/>
      <c r="E215" s="488"/>
      <c r="F215" s="489"/>
    </row>
    <row r="216" spans="1:6" ht="18">
      <c r="A216" s="199">
        <v>11.01</v>
      </c>
      <c r="B216" s="99" t="s">
        <v>75</v>
      </c>
      <c r="C216" s="41" t="s">
        <v>36</v>
      </c>
      <c r="D216" s="216">
        <v>15</v>
      </c>
      <c r="E216" s="134">
        <f>F216/D216</f>
        <v>4916.7038557431742</v>
      </c>
      <c r="F216" s="298">
        <f>F223+F233+F228</f>
        <v>73750.557836147607</v>
      </c>
    </row>
    <row r="217" spans="1:6" s="63" customFormat="1" ht="18">
      <c r="A217" s="203"/>
      <c r="B217" s="19"/>
      <c r="C217" s="20"/>
      <c r="D217" s="225">
        <f>D216*0.05</f>
        <v>0.75</v>
      </c>
      <c r="E217" s="136"/>
      <c r="F217" s="165"/>
    </row>
    <row r="218" spans="1:6" ht="18">
      <c r="A218" s="204"/>
      <c r="B218" s="97" t="s">
        <v>2</v>
      </c>
      <c r="C218" s="23"/>
      <c r="D218" s="25"/>
      <c r="E218" s="133"/>
      <c r="F218" s="292"/>
    </row>
    <row r="219" spans="1:6" s="63" customFormat="1" ht="18">
      <c r="A219" s="201"/>
      <c r="B219" s="13" t="s">
        <v>30</v>
      </c>
      <c r="C219" s="9" t="s">
        <v>28</v>
      </c>
      <c r="D219" s="46">
        <f>D216*0.1*1.5</f>
        <v>2.25</v>
      </c>
      <c r="E219" s="133">
        <v>12000</v>
      </c>
      <c r="F219" s="155">
        <f>+D219*E219</f>
        <v>27000</v>
      </c>
    </row>
    <row r="220" spans="1:6" ht="18">
      <c r="A220" s="204"/>
      <c r="B220" s="98" t="s">
        <v>11</v>
      </c>
      <c r="C220" s="23" t="s">
        <v>12</v>
      </c>
      <c r="D220" s="46">
        <f>D217*(1/13)*1.57*(1440/50)</f>
        <v>2.6086153846153848</v>
      </c>
      <c r="E220" s="133">
        <v>12000</v>
      </c>
      <c r="F220" s="292">
        <f>D220*E220</f>
        <v>31303.384615384617</v>
      </c>
    </row>
    <row r="221" spans="1:6" ht="18">
      <c r="A221" s="204"/>
      <c r="B221" s="98" t="s">
        <v>13</v>
      </c>
      <c r="C221" s="23" t="s">
        <v>10</v>
      </c>
      <c r="D221" s="46">
        <f>D217*(4/13)*1.57</f>
        <v>0.36230769230769233</v>
      </c>
      <c r="E221" s="133">
        <v>25000</v>
      </c>
      <c r="F221" s="292">
        <f>D221*E221</f>
        <v>9057.6923076923085</v>
      </c>
    </row>
    <row r="222" spans="1:6" ht="18">
      <c r="A222" s="204"/>
      <c r="B222" s="98" t="s">
        <v>14</v>
      </c>
      <c r="C222" s="23" t="s">
        <v>10</v>
      </c>
      <c r="D222" s="46">
        <f>D217*(8/13)*1.57</f>
        <v>0.72461538461538466</v>
      </c>
      <c r="E222" s="133">
        <v>27000</v>
      </c>
      <c r="F222" s="292">
        <f>D222*E222</f>
        <v>19564.615384615387</v>
      </c>
    </row>
    <row r="223" spans="1:6" ht="19.5">
      <c r="A223" s="168"/>
      <c r="B223" s="97" t="s">
        <v>115</v>
      </c>
      <c r="C223" s="28"/>
      <c r="D223" s="33"/>
      <c r="E223" s="135"/>
      <c r="F223" s="293">
        <f>SUM(F220:F222)</f>
        <v>59925.692307692312</v>
      </c>
    </row>
    <row r="224" spans="1:6" ht="19.5">
      <c r="A224" s="168"/>
      <c r="B224" s="97"/>
      <c r="C224" s="28"/>
      <c r="D224" s="33"/>
      <c r="E224" s="135"/>
      <c r="F224" s="293"/>
    </row>
    <row r="225" spans="1:6" ht="18">
      <c r="A225" s="206"/>
      <c r="B225" s="101" t="s">
        <v>19</v>
      </c>
      <c r="C225" s="56"/>
      <c r="D225" s="225"/>
      <c r="E225" s="136"/>
      <c r="F225" s="295"/>
    </row>
    <row r="226" spans="1:6" ht="18">
      <c r="A226" s="206"/>
      <c r="B226" s="102" t="s">
        <v>20</v>
      </c>
      <c r="C226" s="56" t="s">
        <v>21</v>
      </c>
      <c r="D226" s="225">
        <f>D212/6</f>
        <v>5.08130081300813E-2</v>
      </c>
      <c r="E226" s="136">
        <v>50000</v>
      </c>
      <c r="F226" s="295">
        <f>D226*E226</f>
        <v>2540.6504065040649</v>
      </c>
    </row>
    <row r="227" spans="1:6" ht="18">
      <c r="A227" s="206"/>
      <c r="B227" s="102" t="s">
        <v>22</v>
      </c>
      <c r="C227" s="56" t="s">
        <v>21</v>
      </c>
      <c r="D227" s="225">
        <f>D212/6</f>
        <v>5.08130081300813E-2</v>
      </c>
      <c r="E227" s="136">
        <v>15000</v>
      </c>
      <c r="F227" s="295">
        <f>D227*E227</f>
        <v>762.19512195121945</v>
      </c>
    </row>
    <row r="228" spans="1:6" ht="19.5">
      <c r="A228" s="207"/>
      <c r="B228" s="101" t="s">
        <v>112</v>
      </c>
      <c r="C228" s="57"/>
      <c r="D228" s="219"/>
      <c r="E228" s="262"/>
      <c r="F228" s="296">
        <f>SUM(F226:F227)</f>
        <v>3302.8455284552842</v>
      </c>
    </row>
    <row r="229" spans="1:6" ht="18">
      <c r="A229" s="204"/>
      <c r="B229" s="98"/>
      <c r="C229" s="23"/>
      <c r="D229" s="221"/>
      <c r="E229" s="133"/>
      <c r="F229" s="292"/>
    </row>
    <row r="230" spans="1:6" ht="18">
      <c r="A230" s="204"/>
      <c r="B230" s="97" t="s">
        <v>6</v>
      </c>
      <c r="C230" s="23"/>
      <c r="D230" s="221"/>
      <c r="E230" s="133"/>
      <c r="F230" s="292"/>
    </row>
    <row r="231" spans="1:6" ht="18">
      <c r="A231" s="204"/>
      <c r="B231" s="98" t="s">
        <v>24</v>
      </c>
      <c r="C231" s="23" t="s">
        <v>21</v>
      </c>
      <c r="D231" s="25">
        <f>(D217/6)*2</f>
        <v>0.25</v>
      </c>
      <c r="E231" s="133">
        <v>6088.08</v>
      </c>
      <c r="F231" s="292">
        <f>D231*E231</f>
        <v>1522.02</v>
      </c>
    </row>
    <row r="232" spans="1:6" ht="18">
      <c r="A232" s="204"/>
      <c r="B232" s="98" t="s">
        <v>25</v>
      </c>
      <c r="C232" s="23" t="s">
        <v>21</v>
      </c>
      <c r="D232" s="25">
        <f>(D217/6)*18</f>
        <v>2.25</v>
      </c>
      <c r="E232" s="133">
        <v>4000</v>
      </c>
      <c r="F232" s="292">
        <f>D232*E232</f>
        <v>9000</v>
      </c>
    </row>
    <row r="233" spans="1:6" ht="19.5">
      <c r="A233" s="168"/>
      <c r="B233" s="97" t="s">
        <v>113</v>
      </c>
      <c r="C233" s="28"/>
      <c r="D233" s="33"/>
      <c r="E233" s="135"/>
      <c r="F233" s="293">
        <f>SUM(F231:F232)</f>
        <v>10522.02</v>
      </c>
    </row>
    <row r="234" spans="1:6" ht="18">
      <c r="A234" s="204"/>
      <c r="B234" s="98"/>
      <c r="C234" s="23"/>
      <c r="D234" s="25"/>
      <c r="E234" s="133"/>
      <c r="F234" s="292"/>
    </row>
    <row r="235" spans="1:6" ht="18">
      <c r="A235" s="199">
        <v>12.01</v>
      </c>
      <c r="B235" s="2" t="s">
        <v>46</v>
      </c>
      <c r="C235" s="65" t="s">
        <v>47</v>
      </c>
      <c r="D235" s="212">
        <v>15</v>
      </c>
      <c r="E235" s="282">
        <f>F235/D235</f>
        <v>4745.6996666666673</v>
      </c>
      <c r="F235" s="153">
        <f>F239+F244</f>
        <v>71185.49500000001</v>
      </c>
    </row>
    <row r="236" spans="1:6" ht="18">
      <c r="A236" s="201"/>
      <c r="B236" s="60" t="s">
        <v>2</v>
      </c>
      <c r="C236" s="44"/>
      <c r="D236" s="45"/>
      <c r="E236" s="283"/>
      <c r="F236" s="155"/>
    </row>
    <row r="237" spans="1:6" ht="18">
      <c r="A237" s="201"/>
      <c r="B237" s="48" t="s">
        <v>11</v>
      </c>
      <c r="C237" s="44" t="s">
        <v>12</v>
      </c>
      <c r="D237" s="45">
        <f>D235*(1/6)*0.032*(1440/50)*1.54</f>
        <v>3.5481600000000006</v>
      </c>
      <c r="E237" s="283">
        <v>12000</v>
      </c>
      <c r="F237" s="155">
        <f>E237*D237</f>
        <v>42577.920000000006</v>
      </c>
    </row>
    <row r="238" spans="1:6" ht="18">
      <c r="A238" s="201"/>
      <c r="B238" s="48" t="s">
        <v>13</v>
      </c>
      <c r="C238" s="44" t="s">
        <v>10</v>
      </c>
      <c r="D238" s="45">
        <f>D235*(5/6)*0.032*1.54</f>
        <v>0.6160000000000001</v>
      </c>
      <c r="E238" s="283">
        <v>25000</v>
      </c>
      <c r="F238" s="155">
        <f>E238*D238</f>
        <v>15400.000000000002</v>
      </c>
    </row>
    <row r="239" spans="1:6" ht="19.5">
      <c r="A239" s="168"/>
      <c r="B239" s="97" t="s">
        <v>5</v>
      </c>
      <c r="C239" s="28"/>
      <c r="D239" s="33"/>
      <c r="E239" s="135"/>
      <c r="F239" s="293">
        <f>SUM(F237:F238)</f>
        <v>57977.920000000006</v>
      </c>
    </row>
    <row r="240" spans="1:6" ht="18">
      <c r="A240" s="204"/>
      <c r="B240" s="98"/>
      <c r="C240" s="23"/>
      <c r="D240" s="25"/>
      <c r="E240" s="133"/>
      <c r="F240" s="292"/>
    </row>
    <row r="241" spans="1:6" ht="18">
      <c r="A241" s="204"/>
      <c r="B241" s="97" t="s">
        <v>6</v>
      </c>
      <c r="C241" s="23"/>
      <c r="D241" s="25"/>
      <c r="E241" s="133"/>
      <c r="F241" s="292"/>
    </row>
    <row r="242" spans="1:6" ht="18">
      <c r="A242" s="204"/>
      <c r="B242" s="98" t="s">
        <v>34</v>
      </c>
      <c r="C242" s="23" t="s">
        <v>8</v>
      </c>
      <c r="D242" s="25">
        <f>D235/16</f>
        <v>0.9375</v>
      </c>
      <c r="E242" s="133">
        <v>6088.08</v>
      </c>
      <c r="F242" s="292">
        <f>D242*E242</f>
        <v>5707.5749999999998</v>
      </c>
    </row>
    <row r="243" spans="1:6" ht="18">
      <c r="A243" s="204"/>
      <c r="B243" s="98" t="s">
        <v>7</v>
      </c>
      <c r="C243" s="23" t="s">
        <v>8</v>
      </c>
      <c r="D243" s="25">
        <f>D242*2</f>
        <v>1.875</v>
      </c>
      <c r="E243" s="133">
        <v>4000</v>
      </c>
      <c r="F243" s="292">
        <f>D243*E243</f>
        <v>7500</v>
      </c>
    </row>
    <row r="244" spans="1:6" ht="19.5">
      <c r="A244" s="168"/>
      <c r="B244" s="97" t="s">
        <v>9</v>
      </c>
      <c r="C244" s="28"/>
      <c r="D244" s="33"/>
      <c r="E244" s="135"/>
      <c r="F244" s="293">
        <f>SUM(F242:F243)</f>
        <v>13207.575000000001</v>
      </c>
    </row>
    <row r="245" spans="1:6" ht="19.5">
      <c r="A245" s="168"/>
      <c r="B245" s="97"/>
      <c r="C245" s="28"/>
      <c r="D245" s="33"/>
      <c r="E245" s="135"/>
      <c r="F245" s="293"/>
    </row>
    <row r="246" spans="1:6" ht="19.5">
      <c r="A246" s="168">
        <v>13</v>
      </c>
      <c r="B246" s="484" t="s">
        <v>48</v>
      </c>
      <c r="C246" s="484"/>
      <c r="D246" s="484"/>
      <c r="E246" s="484"/>
      <c r="F246" s="485"/>
    </row>
    <row r="247" spans="1:6" ht="18">
      <c r="A247" s="205">
        <v>13.01</v>
      </c>
      <c r="B247" s="16" t="s">
        <v>49</v>
      </c>
      <c r="C247" s="35" t="s">
        <v>50</v>
      </c>
      <c r="D247" s="222">
        <f>((5+3+3)*3)-(1.8)</f>
        <v>31.2</v>
      </c>
      <c r="E247" s="138">
        <f>F247/D247</f>
        <v>3911.160542372882</v>
      </c>
      <c r="F247" s="153">
        <f>F251+F256</f>
        <v>122028.20892203391</v>
      </c>
    </row>
    <row r="248" spans="1:6" ht="18">
      <c r="A248" s="204"/>
      <c r="B248" s="60" t="s">
        <v>51</v>
      </c>
      <c r="C248" s="44"/>
      <c r="D248" s="46"/>
      <c r="E248" s="133"/>
      <c r="F248" s="155"/>
    </row>
    <row r="249" spans="1:6" ht="18">
      <c r="A249" s="203"/>
      <c r="B249" s="48" t="s">
        <v>52</v>
      </c>
      <c r="C249" s="44" t="s">
        <v>12</v>
      </c>
      <c r="D249" s="25">
        <f>D247*0.015*(1/5)*1.54*(1440/50)</f>
        <v>4.1513472</v>
      </c>
      <c r="E249" s="133">
        <f>11000/1.18</f>
        <v>9322.033898305086</v>
      </c>
      <c r="F249" s="155">
        <f>D249*E249</f>
        <v>38698.999322033902</v>
      </c>
    </row>
    <row r="250" spans="1:6" s="90" customFormat="1" ht="18">
      <c r="A250" s="239"/>
      <c r="B250" s="48" t="s">
        <v>13</v>
      </c>
      <c r="C250" s="44" t="s">
        <v>28</v>
      </c>
      <c r="D250" s="25">
        <f>D247*0.015*1.54*(4/5)</f>
        <v>0.57657600000000009</v>
      </c>
      <c r="E250" s="133">
        <v>25000</v>
      </c>
      <c r="F250" s="155">
        <f>D250*E250</f>
        <v>14414.400000000001</v>
      </c>
    </row>
    <row r="251" spans="1:6" ht="19.5">
      <c r="A251" s="192"/>
      <c r="B251" s="60" t="s">
        <v>5</v>
      </c>
      <c r="C251" s="61"/>
      <c r="D251" s="33"/>
      <c r="E251" s="135"/>
      <c r="F251" s="162">
        <f>SUM(F249:F250)</f>
        <v>53113.399322033903</v>
      </c>
    </row>
    <row r="252" spans="1:6" ht="18">
      <c r="A252" s="239"/>
      <c r="B252" s="48"/>
      <c r="C252" s="44"/>
      <c r="D252" s="25"/>
      <c r="E252" s="133"/>
      <c r="F252" s="155"/>
    </row>
    <row r="253" spans="1:6" ht="18">
      <c r="A253" s="239"/>
      <c r="B253" s="60" t="s">
        <v>53</v>
      </c>
      <c r="C253" s="44"/>
      <c r="D253" s="46"/>
      <c r="E253" s="133"/>
      <c r="F253" s="155"/>
    </row>
    <row r="254" spans="1:6" ht="18">
      <c r="A254" s="239"/>
      <c r="B254" s="48" t="s">
        <v>34</v>
      </c>
      <c r="C254" s="44" t="s">
        <v>8</v>
      </c>
      <c r="D254" s="25">
        <f>D247/10</f>
        <v>3.12</v>
      </c>
      <c r="E254" s="133">
        <v>6088.08</v>
      </c>
      <c r="F254" s="155">
        <f>D254*E254</f>
        <v>18994.809600000001</v>
      </c>
    </row>
    <row r="255" spans="1:6" ht="18">
      <c r="A255" s="239"/>
      <c r="B255" s="48" t="s">
        <v>7</v>
      </c>
      <c r="C255" s="44" t="s">
        <v>8</v>
      </c>
      <c r="D255" s="46">
        <f>D254*4</f>
        <v>12.48</v>
      </c>
      <c r="E255" s="133">
        <v>4000</v>
      </c>
      <c r="F255" s="155">
        <f>D255*E255</f>
        <v>49920</v>
      </c>
    </row>
    <row r="256" spans="1:6" ht="18">
      <c r="A256" s="240"/>
      <c r="B256" s="97" t="s">
        <v>54</v>
      </c>
      <c r="C256" s="49"/>
      <c r="D256" s="51"/>
      <c r="E256" s="141"/>
      <c r="F256" s="155">
        <f>SUM(F254:F255)</f>
        <v>68914.809600000008</v>
      </c>
    </row>
    <row r="257" spans="1:6" ht="18">
      <c r="A257" s="200"/>
      <c r="B257" s="48"/>
      <c r="C257" s="44"/>
      <c r="D257" s="46"/>
      <c r="E257" s="133"/>
      <c r="F257" s="155"/>
    </row>
    <row r="258" spans="1:6" ht="19.5">
      <c r="A258" s="192">
        <v>14</v>
      </c>
      <c r="B258" s="104" t="s">
        <v>55</v>
      </c>
      <c r="C258" s="94"/>
      <c r="D258" s="233"/>
      <c r="E258" s="284"/>
      <c r="F258" s="299"/>
    </row>
    <row r="259" spans="1:6" ht="18">
      <c r="A259" s="241">
        <v>14.01</v>
      </c>
      <c r="B259" s="16" t="s">
        <v>49</v>
      </c>
      <c r="C259" s="35" t="s">
        <v>1</v>
      </c>
      <c r="D259" s="222">
        <f>D247</f>
        <v>31.2</v>
      </c>
      <c r="E259" s="138">
        <f>F259/D259</f>
        <v>2189.9299999999998</v>
      </c>
      <c r="F259" s="153">
        <f>F268+F273</f>
        <v>68325.815999999992</v>
      </c>
    </row>
    <row r="260" spans="1:6" ht="18">
      <c r="A260" s="200"/>
      <c r="B260" s="105"/>
      <c r="C260" s="18"/>
      <c r="D260" s="223"/>
      <c r="E260" s="136"/>
      <c r="F260" s="165"/>
    </row>
    <row r="261" spans="1:6" ht="18">
      <c r="A261" s="200"/>
      <c r="B261" s="60" t="s">
        <v>2</v>
      </c>
      <c r="C261" s="44"/>
      <c r="D261" s="46"/>
      <c r="E261" s="133"/>
      <c r="F261" s="155"/>
    </row>
    <row r="262" spans="1:6" s="90" customFormat="1" ht="18">
      <c r="A262" s="242"/>
      <c r="B262" s="48" t="s">
        <v>56</v>
      </c>
      <c r="C262" s="44" t="s">
        <v>57</v>
      </c>
      <c r="D262" s="46">
        <f>D259*0.07*3</f>
        <v>6.5520000000000005</v>
      </c>
      <c r="E262" s="133">
        <f>105000/20</f>
        <v>5250</v>
      </c>
      <c r="F262" s="155">
        <f>E262*D262</f>
        <v>34398</v>
      </c>
    </row>
    <row r="263" spans="1:6" ht="18">
      <c r="A263" s="239"/>
      <c r="B263" s="48" t="str">
        <f>'[1]Emulsion Paint'!$B$19</f>
        <v>Induit/undercoat ( 2 coats)</v>
      </c>
      <c r="C263" s="44" t="s">
        <v>57</v>
      </c>
      <c r="D263" s="46">
        <f>D259*0.07*2</f>
        <v>4.3680000000000003</v>
      </c>
      <c r="E263" s="133">
        <f>20000/20</f>
        <v>1000</v>
      </c>
      <c r="F263" s="155">
        <f t="shared" ref="F263:F267" si="0">E263*D263</f>
        <v>4368</v>
      </c>
    </row>
    <row r="264" spans="1:6" ht="18">
      <c r="A264" s="239"/>
      <c r="B264" s="48" t="str">
        <f>'[1]Emulsion Paint'!$B$24</f>
        <v>Roller</v>
      </c>
      <c r="C264" s="44" t="s">
        <v>44</v>
      </c>
      <c r="D264" s="25">
        <f>D259/100</f>
        <v>0.312</v>
      </c>
      <c r="E264" s="133">
        <v>2000</v>
      </c>
      <c r="F264" s="155">
        <f t="shared" si="0"/>
        <v>624</v>
      </c>
    </row>
    <row r="265" spans="1:6" ht="18">
      <c r="A265" s="239"/>
      <c r="B265" s="48" t="str">
        <f>'[1]Emulsion Paint'!$B$23</f>
        <v>Brush</v>
      </c>
      <c r="C265" s="44" t="s">
        <v>44</v>
      </c>
      <c r="D265" s="25">
        <f>D259/100</f>
        <v>0.312</v>
      </c>
      <c r="E265" s="133">
        <v>1000</v>
      </c>
      <c r="F265" s="155">
        <f t="shared" si="0"/>
        <v>312</v>
      </c>
    </row>
    <row r="266" spans="1:6" ht="18">
      <c r="A266" s="239"/>
      <c r="B266" s="48" t="s">
        <v>58</v>
      </c>
      <c r="C266" s="44" t="s">
        <v>59</v>
      </c>
      <c r="D266" s="25">
        <f>D259/100</f>
        <v>0.312</v>
      </c>
      <c r="E266" s="133">
        <v>500</v>
      </c>
      <c r="F266" s="155">
        <f t="shared" si="0"/>
        <v>156</v>
      </c>
    </row>
    <row r="267" spans="1:6" ht="18">
      <c r="A267" s="239"/>
      <c r="B267" s="48" t="s">
        <v>60</v>
      </c>
      <c r="C267" s="44" t="s">
        <v>44</v>
      </c>
      <c r="D267" s="25">
        <f>D259/50</f>
        <v>0.624</v>
      </c>
      <c r="E267" s="133">
        <v>5000</v>
      </c>
      <c r="F267" s="155">
        <f t="shared" si="0"/>
        <v>3120</v>
      </c>
    </row>
    <row r="268" spans="1:6" ht="19.5">
      <c r="A268" s="192"/>
      <c r="B268" s="60" t="s">
        <v>61</v>
      </c>
      <c r="C268" s="61"/>
      <c r="D268" s="33"/>
      <c r="E268" s="135"/>
      <c r="F268" s="162">
        <f>SUM(F262:F267)</f>
        <v>42978</v>
      </c>
    </row>
    <row r="269" spans="1:6" ht="18">
      <c r="A269" s="239"/>
      <c r="B269" s="48"/>
      <c r="C269" s="44"/>
      <c r="D269" s="111"/>
      <c r="E269" s="133"/>
      <c r="F269" s="155"/>
    </row>
    <row r="270" spans="1:6" ht="18">
      <c r="A270" s="239"/>
      <c r="B270" s="60" t="s">
        <v>6</v>
      </c>
      <c r="C270" s="44"/>
      <c r="D270" s="220"/>
      <c r="E270" s="133"/>
      <c r="F270" s="155"/>
    </row>
    <row r="271" spans="1:6" ht="18">
      <c r="A271" s="239"/>
      <c r="B271" s="48" t="s">
        <v>7</v>
      </c>
      <c r="C271" s="44" t="s">
        <v>62</v>
      </c>
      <c r="D271" s="46">
        <f>D272</f>
        <v>2.3009999999999997</v>
      </c>
      <c r="E271" s="133">
        <v>4000</v>
      </c>
      <c r="F271" s="155">
        <f>E271*D271</f>
        <v>9203.9999999999982</v>
      </c>
    </row>
    <row r="272" spans="1:6" ht="18">
      <c r="A272" s="239"/>
      <c r="B272" s="48" t="s">
        <v>63</v>
      </c>
      <c r="C272" s="44" t="s">
        <v>62</v>
      </c>
      <c r="D272" s="46">
        <f>D259*(0.59/8)</f>
        <v>2.3009999999999997</v>
      </c>
      <c r="E272" s="133">
        <v>7016</v>
      </c>
      <c r="F272" s="155">
        <f>E272*D272</f>
        <v>16143.815999999997</v>
      </c>
    </row>
    <row r="273" spans="1:6" ht="19.5">
      <c r="A273" s="168"/>
      <c r="B273" s="97" t="s">
        <v>9</v>
      </c>
      <c r="C273" s="28"/>
      <c r="D273" s="33"/>
      <c r="E273" s="135"/>
      <c r="F273" s="293">
        <f>SUM(F271:F272)</f>
        <v>25347.815999999995</v>
      </c>
    </row>
    <row r="274" spans="1:6" ht="18">
      <c r="A274" s="243"/>
      <c r="B274" s="106"/>
      <c r="C274" s="47"/>
      <c r="D274" s="224"/>
      <c r="E274" s="141"/>
      <c r="F274" s="300"/>
    </row>
    <row r="275" spans="1:6" ht="19.5">
      <c r="A275" s="168">
        <v>15</v>
      </c>
      <c r="B275" s="484" t="s">
        <v>125</v>
      </c>
      <c r="C275" s="484"/>
      <c r="D275" s="484"/>
      <c r="E275" s="484"/>
      <c r="F275" s="485"/>
    </row>
    <row r="276" spans="1:6" ht="18">
      <c r="A276" s="205">
        <v>15.01</v>
      </c>
      <c r="B276" s="34" t="s">
        <v>64</v>
      </c>
      <c r="C276" s="35" t="s">
        <v>50</v>
      </c>
      <c r="D276" s="37">
        <f>((11*3)+((1.5*2)*8))-(1.8)</f>
        <v>55.2</v>
      </c>
      <c r="E276" s="138">
        <f>F276/D276</f>
        <v>4012.2128192090399</v>
      </c>
      <c r="F276" s="153">
        <f>F281+F286</f>
        <v>221474.147620339</v>
      </c>
    </row>
    <row r="277" spans="1:6" ht="18">
      <c r="A277" s="204"/>
      <c r="B277" s="60" t="s">
        <v>51</v>
      </c>
      <c r="C277" s="44"/>
      <c r="D277" s="46"/>
      <c r="E277" s="133"/>
      <c r="F277" s="155"/>
    </row>
    <row r="278" spans="1:6" ht="18">
      <c r="A278" s="203"/>
      <c r="B278" s="48" t="s">
        <v>52</v>
      </c>
      <c r="C278" s="44" t="s">
        <v>12</v>
      </c>
      <c r="D278" s="25">
        <f>D276*0.01*(1/4)*1.54*(1440/50)+(D276*0.003*(1/6)*1.57*(1440/50))</f>
        <v>7.3685376000000007</v>
      </c>
      <c r="E278" s="133">
        <f>11000/1.18</f>
        <v>9322.033898305086</v>
      </c>
      <c r="F278" s="155">
        <f>D278*E278</f>
        <v>68689.757288135603</v>
      </c>
    </row>
    <row r="279" spans="1:6" s="90" customFormat="1" ht="18">
      <c r="A279" s="239"/>
      <c r="B279" s="48" t="s">
        <v>13</v>
      </c>
      <c r="C279" s="44" t="s">
        <v>28</v>
      </c>
      <c r="D279" s="25">
        <f>D276*0.01*1.5*1.54*(3/4)</f>
        <v>0.95633999999999997</v>
      </c>
      <c r="E279" s="133">
        <v>25000</v>
      </c>
      <c r="F279" s="155">
        <f>D279*E279</f>
        <v>23908.5</v>
      </c>
    </row>
    <row r="280" spans="1:6" ht="18">
      <c r="A280" s="239"/>
      <c r="B280" s="48" t="s">
        <v>65</v>
      </c>
      <c r="C280" s="44" t="s">
        <v>31</v>
      </c>
      <c r="D280" s="25">
        <f>D276*0.003*(5/6)*1.57*(1440/50)</f>
        <v>6.2398080000000027</v>
      </c>
      <c r="E280" s="133">
        <f>9000/1.18</f>
        <v>7627.1186440677966</v>
      </c>
      <c r="F280" s="155">
        <f>D280*E280</f>
        <v>47591.755932203407</v>
      </c>
    </row>
    <row r="281" spans="1:6" ht="19.5">
      <c r="A281" s="192"/>
      <c r="B281" s="60" t="s">
        <v>5</v>
      </c>
      <c r="C281" s="61"/>
      <c r="D281" s="33"/>
      <c r="E281" s="135"/>
      <c r="F281" s="162">
        <f>SUM(F278:F280)</f>
        <v>140190.01322033902</v>
      </c>
    </row>
    <row r="282" spans="1:6" ht="18">
      <c r="A282" s="239"/>
      <c r="B282" s="48"/>
      <c r="C282" s="44"/>
      <c r="D282" s="25"/>
      <c r="E282" s="133"/>
      <c r="F282" s="155"/>
    </row>
    <row r="283" spans="1:6" ht="18">
      <c r="A283" s="92"/>
      <c r="B283" s="60" t="s">
        <v>53</v>
      </c>
      <c r="C283" s="44"/>
      <c r="D283" s="46"/>
      <c r="E283" s="133"/>
      <c r="F283" s="155"/>
    </row>
    <row r="284" spans="1:6" ht="18">
      <c r="A284" s="92"/>
      <c r="B284" s="48" t="s">
        <v>34</v>
      </c>
      <c r="C284" s="44" t="s">
        <v>8</v>
      </c>
      <c r="D284" s="25">
        <f>D276/15</f>
        <v>3.68</v>
      </c>
      <c r="E284" s="133">
        <v>6088.08</v>
      </c>
      <c r="F284" s="155">
        <f>D284*E284</f>
        <v>22404.134399999999</v>
      </c>
    </row>
    <row r="285" spans="1:6" ht="18">
      <c r="A285" s="92"/>
      <c r="B285" s="48" t="s">
        <v>7</v>
      </c>
      <c r="C285" s="44" t="s">
        <v>8</v>
      </c>
      <c r="D285" s="46">
        <f>D284*4</f>
        <v>14.72</v>
      </c>
      <c r="E285" s="133">
        <v>4000</v>
      </c>
      <c r="F285" s="155">
        <f>D285*E285</f>
        <v>58880</v>
      </c>
    </row>
    <row r="286" spans="1:6" ht="19.5">
      <c r="A286" s="93"/>
      <c r="B286" s="97" t="s">
        <v>54</v>
      </c>
      <c r="C286" s="61"/>
      <c r="D286" s="62"/>
      <c r="E286" s="135"/>
      <c r="F286" s="162">
        <f>SUM(F284:F285)</f>
        <v>81284.134399999995</v>
      </c>
    </row>
    <row r="287" spans="1:6" ht="18">
      <c r="A287" s="91"/>
      <c r="B287" s="98"/>
      <c r="C287" s="23"/>
      <c r="D287" s="25"/>
      <c r="E287" s="133"/>
      <c r="F287" s="292"/>
    </row>
    <row r="288" spans="1:6" ht="19.649999999999999" customHeight="1">
      <c r="A288" s="84">
        <v>16</v>
      </c>
      <c r="B288" s="484" t="s">
        <v>143</v>
      </c>
      <c r="C288" s="484"/>
      <c r="D288" s="484"/>
      <c r="E288" s="484"/>
      <c r="F288" s="485"/>
    </row>
    <row r="289" spans="1:6" ht="18">
      <c r="A289" s="208">
        <v>16.010000000000002</v>
      </c>
      <c r="B289" s="16" t="s">
        <v>66</v>
      </c>
      <c r="C289" s="35" t="s">
        <v>1</v>
      </c>
      <c r="D289" s="138">
        <f>D276+D247</f>
        <v>86.4</v>
      </c>
      <c r="E289" s="138">
        <f>F289/D289</f>
        <v>3900.6992307692312</v>
      </c>
      <c r="F289" s="153">
        <f>F299+F304</f>
        <v>337020.41353846161</v>
      </c>
    </row>
    <row r="290" spans="1:6" ht="18.649999999999999" customHeight="1">
      <c r="A290" s="91"/>
      <c r="B290" s="60" t="s">
        <v>2</v>
      </c>
      <c r="C290" s="44"/>
      <c r="D290" s="133"/>
      <c r="E290" s="133"/>
      <c r="F290" s="155"/>
    </row>
    <row r="291" spans="1:6" ht="18">
      <c r="A291" s="91"/>
      <c r="B291" s="48" t="str">
        <f>'[1]Emulsion Paint'!$B$22</f>
        <v>Emulsion paint ( 3 coats)</v>
      </c>
      <c r="C291" s="44" t="s">
        <v>57</v>
      </c>
      <c r="D291" s="133">
        <f>D289*0.07*3</f>
        <v>18.144000000000002</v>
      </c>
      <c r="E291" s="133">
        <f>65000/20</f>
        <v>3250</v>
      </c>
      <c r="F291" s="155">
        <f t="shared" ref="F291:F298" si="1">E291*D291</f>
        <v>58968.000000000007</v>
      </c>
    </row>
    <row r="292" spans="1:6" ht="18">
      <c r="A292" s="231"/>
      <c r="B292" s="48" t="str">
        <f>'[1]Emulsion Paint'!$B$20</f>
        <v>Whiting/stucco ( 2 coats)</v>
      </c>
      <c r="C292" s="44" t="s">
        <v>67</v>
      </c>
      <c r="D292" s="133">
        <f>D289*((50*2)/65)*2</f>
        <v>265.84615384615387</v>
      </c>
      <c r="E292" s="133">
        <f>16000/50</f>
        <v>320</v>
      </c>
      <c r="F292" s="155">
        <f t="shared" si="1"/>
        <v>85070.769230769234</v>
      </c>
    </row>
    <row r="293" spans="1:6" ht="18">
      <c r="A293" s="92"/>
      <c r="B293" s="48" t="str">
        <f>'[1]Emulsion Paint'!$B$19</f>
        <v>Induit/undercoat ( 2 coats)</v>
      </c>
      <c r="C293" s="44" t="s">
        <v>57</v>
      </c>
      <c r="D293" s="133">
        <f>D289*0.07*2</f>
        <v>12.096000000000002</v>
      </c>
      <c r="E293" s="133">
        <f>20000/20</f>
        <v>1000</v>
      </c>
      <c r="F293" s="155">
        <f t="shared" si="1"/>
        <v>12096.000000000002</v>
      </c>
    </row>
    <row r="294" spans="1:6" ht="18">
      <c r="A294" s="92"/>
      <c r="B294" s="48" t="s">
        <v>68</v>
      </c>
      <c r="C294" s="44" t="s">
        <v>57</v>
      </c>
      <c r="D294" s="133">
        <f>D289*((30/65)*2)</f>
        <v>79.753846153846169</v>
      </c>
      <c r="E294" s="133">
        <f>20000/20</f>
        <v>1000</v>
      </c>
      <c r="F294" s="155">
        <f t="shared" si="1"/>
        <v>79753.846153846171</v>
      </c>
    </row>
    <row r="295" spans="1:6" ht="18">
      <c r="A295" s="92"/>
      <c r="B295" s="48" t="str">
        <f>'[1]Emulsion Paint'!$B$21</f>
        <v>Colle</v>
      </c>
      <c r="C295" s="44" t="s">
        <v>69</v>
      </c>
      <c r="D295" s="133">
        <f>D289*((1/65)*2)</f>
        <v>2.6584615384615389</v>
      </c>
      <c r="E295" s="133">
        <f>10500</f>
        <v>10500</v>
      </c>
      <c r="F295" s="155">
        <f t="shared" si="1"/>
        <v>27913.84615384616</v>
      </c>
    </row>
    <row r="296" spans="1:6" ht="18">
      <c r="A296" s="92"/>
      <c r="B296" s="48" t="str">
        <f>'[1]Emulsion Paint'!$B$24</f>
        <v>Roller</v>
      </c>
      <c r="C296" s="44" t="s">
        <v>44</v>
      </c>
      <c r="D296" s="118">
        <f>D289/100</f>
        <v>0.8640000000000001</v>
      </c>
      <c r="E296" s="133">
        <v>2000</v>
      </c>
      <c r="F296" s="155">
        <f t="shared" si="1"/>
        <v>1728.0000000000002</v>
      </c>
    </row>
    <row r="297" spans="1:6" ht="18">
      <c r="A297" s="92"/>
      <c r="B297" s="48" t="str">
        <f>'[1]Emulsion Paint'!$B$23</f>
        <v>Brush</v>
      </c>
      <c r="C297" s="44" t="s">
        <v>44</v>
      </c>
      <c r="D297" s="118">
        <f>D289/100</f>
        <v>0.8640000000000001</v>
      </c>
      <c r="E297" s="133">
        <v>1000</v>
      </c>
      <c r="F297" s="155">
        <f t="shared" si="1"/>
        <v>864.00000000000011</v>
      </c>
    </row>
    <row r="298" spans="1:6" ht="18">
      <c r="A298" s="92"/>
      <c r="B298" s="48" t="s">
        <v>58</v>
      </c>
      <c r="C298" s="44" t="s">
        <v>59</v>
      </c>
      <c r="D298" s="118">
        <f>D289/100</f>
        <v>0.8640000000000001</v>
      </c>
      <c r="E298" s="133">
        <v>500</v>
      </c>
      <c r="F298" s="155">
        <f t="shared" si="1"/>
        <v>432.00000000000006</v>
      </c>
    </row>
    <row r="299" spans="1:6" ht="19.5">
      <c r="A299" s="93"/>
      <c r="B299" s="60" t="s">
        <v>5</v>
      </c>
      <c r="C299" s="61"/>
      <c r="D299" s="121"/>
      <c r="E299" s="135"/>
      <c r="F299" s="162">
        <f>SUM(F291:F298)</f>
        <v>266826.46153846162</v>
      </c>
    </row>
    <row r="300" spans="1:6" ht="18">
      <c r="A300" s="92"/>
      <c r="B300" s="48"/>
      <c r="C300" s="44"/>
      <c r="D300" s="118"/>
      <c r="E300" s="133"/>
      <c r="F300" s="155"/>
    </row>
    <row r="301" spans="1:6" ht="18">
      <c r="A301" s="92"/>
      <c r="B301" s="60" t="s">
        <v>6</v>
      </c>
      <c r="C301" s="44"/>
      <c r="D301" s="133"/>
      <c r="E301" s="133"/>
      <c r="F301" s="155"/>
    </row>
    <row r="302" spans="1:6" ht="18">
      <c r="A302" s="92"/>
      <c r="B302" s="48" t="s">
        <v>7</v>
      </c>
      <c r="C302" s="44" t="s">
        <v>62</v>
      </c>
      <c r="D302" s="133">
        <f>D303</f>
        <v>6.3719999999999999</v>
      </c>
      <c r="E302" s="133">
        <v>4000</v>
      </c>
      <c r="F302" s="155">
        <f>E302*D302</f>
        <v>25488</v>
      </c>
    </row>
    <row r="303" spans="1:6" ht="18">
      <c r="A303" s="92"/>
      <c r="B303" s="48" t="s">
        <v>70</v>
      </c>
      <c r="C303" s="44" t="s">
        <v>62</v>
      </c>
      <c r="D303" s="133">
        <f>D289*(0.59/8)</f>
        <v>6.3719999999999999</v>
      </c>
      <c r="E303" s="133">
        <v>7016</v>
      </c>
      <c r="F303" s="155">
        <f>E303*D303</f>
        <v>44705.951999999997</v>
      </c>
    </row>
    <row r="304" spans="1:6" ht="19.5">
      <c r="A304" s="93"/>
      <c r="B304" s="60" t="s">
        <v>54</v>
      </c>
      <c r="C304" s="61"/>
      <c r="D304" s="135"/>
      <c r="E304" s="135"/>
      <c r="F304" s="162">
        <f>SUM(F302:F303)</f>
        <v>70193.95199999999</v>
      </c>
    </row>
    <row r="305" spans="1:6" ht="19.5">
      <c r="A305" s="93"/>
      <c r="B305" s="60"/>
      <c r="C305" s="61"/>
      <c r="D305" s="135"/>
      <c r="E305" s="135"/>
      <c r="F305" s="162"/>
    </row>
    <row r="306" spans="1:6" ht="37.4" customHeight="1">
      <c r="A306" s="321">
        <v>17</v>
      </c>
      <c r="B306" s="475" t="s">
        <v>133</v>
      </c>
      <c r="C306" s="475"/>
      <c r="D306" s="475"/>
      <c r="E306" s="475"/>
      <c r="F306" s="476"/>
    </row>
    <row r="307" spans="1:6" ht="18">
      <c r="A307" s="1">
        <v>17.010000000000002</v>
      </c>
      <c r="B307" s="2" t="s">
        <v>172</v>
      </c>
      <c r="C307" s="274" t="s">
        <v>131</v>
      </c>
      <c r="D307" s="272">
        <v>1</v>
      </c>
      <c r="E307" s="117">
        <f>F307/D307</f>
        <v>205972.21857</v>
      </c>
      <c r="F307" s="160">
        <f>F310+F315</f>
        <v>205972.21857</v>
      </c>
    </row>
    <row r="308" spans="1:6" ht="18">
      <c r="A308" s="229"/>
      <c r="B308" s="8" t="s">
        <v>29</v>
      </c>
      <c r="C308" s="9"/>
      <c r="D308" s="133"/>
      <c r="E308" s="133"/>
      <c r="F308" s="155"/>
    </row>
    <row r="309" spans="1:6" ht="18">
      <c r="A309" s="86"/>
      <c r="B309" s="13" t="s">
        <v>145</v>
      </c>
      <c r="C309" s="9" t="s">
        <v>146</v>
      </c>
      <c r="D309" s="133">
        <v>1</v>
      </c>
      <c r="E309" s="301">
        <f>256017.4551*0.7</f>
        <v>179212.21857</v>
      </c>
      <c r="F309" s="155">
        <f>+D309*E309</f>
        <v>179212.21857</v>
      </c>
    </row>
    <row r="310" spans="1:6" ht="19.5">
      <c r="A310" s="87"/>
      <c r="B310" s="8" t="s">
        <v>5</v>
      </c>
      <c r="C310" s="12"/>
      <c r="D310" s="135"/>
      <c r="E310" s="135"/>
      <c r="F310" s="162">
        <f>F309</f>
        <v>179212.21857</v>
      </c>
    </row>
    <row r="311" spans="1:6" ht="18">
      <c r="A311" s="86"/>
      <c r="B311" s="13"/>
      <c r="C311" s="9"/>
      <c r="D311" s="133"/>
      <c r="E311" s="133"/>
      <c r="F311" s="155"/>
    </row>
    <row r="312" spans="1:6" ht="18">
      <c r="A312" s="230"/>
      <c r="B312" s="8" t="s">
        <v>33</v>
      </c>
      <c r="C312" s="9"/>
      <c r="D312" s="133"/>
      <c r="E312" s="133"/>
      <c r="F312" s="155"/>
    </row>
    <row r="313" spans="1:6" ht="18">
      <c r="A313" s="86"/>
      <c r="B313" s="13" t="s">
        <v>34</v>
      </c>
      <c r="C313" s="9" t="s">
        <v>21</v>
      </c>
      <c r="D313" s="118">
        <f>D307/1</f>
        <v>1</v>
      </c>
      <c r="E313" s="133">
        <v>10760</v>
      </c>
      <c r="F313" s="155">
        <f>+D313*E313</f>
        <v>10760</v>
      </c>
    </row>
    <row r="314" spans="1:6" ht="18">
      <c r="A314" s="86"/>
      <c r="B314" s="13" t="s">
        <v>7</v>
      </c>
      <c r="C314" s="9" t="s">
        <v>21</v>
      </c>
      <c r="D314" s="118">
        <f>+D313*4</f>
        <v>4</v>
      </c>
      <c r="E314" s="133">
        <v>4000</v>
      </c>
      <c r="F314" s="155">
        <f>+D314*E314</f>
        <v>16000</v>
      </c>
    </row>
    <row r="315" spans="1:6" ht="19.5">
      <c r="A315" s="87"/>
      <c r="B315" s="8" t="s">
        <v>39</v>
      </c>
      <c r="C315" s="12"/>
      <c r="D315" s="135"/>
      <c r="E315" s="135"/>
      <c r="F315" s="162">
        <f>SUM(F313:F314)</f>
        <v>26760</v>
      </c>
    </row>
    <row r="316" spans="1:6">
      <c r="A316" s="322"/>
      <c r="B316" s="48"/>
      <c r="C316" s="311"/>
      <c r="D316" s="323"/>
      <c r="E316" s="313"/>
      <c r="F316" s="314"/>
    </row>
    <row r="317" spans="1:6" ht="36.65" customHeight="1">
      <c r="A317" s="321">
        <v>18</v>
      </c>
      <c r="B317" s="475" t="s">
        <v>134</v>
      </c>
      <c r="C317" s="475"/>
      <c r="D317" s="475"/>
      <c r="E317" s="475"/>
      <c r="F317" s="476"/>
    </row>
    <row r="318" spans="1:6" ht="18">
      <c r="A318" s="1">
        <v>18.010000000000002</v>
      </c>
      <c r="B318" s="2" t="s">
        <v>171</v>
      </c>
      <c r="C318" s="274" t="s">
        <v>131</v>
      </c>
      <c r="D318" s="272">
        <v>5</v>
      </c>
      <c r="E318" s="286">
        <f>F318/D318</f>
        <v>362454.23443199997</v>
      </c>
      <c r="F318" s="324">
        <f>F321+F326</f>
        <v>1812271.1721599998</v>
      </c>
    </row>
    <row r="319" spans="1:6" ht="18">
      <c r="A319" s="229"/>
      <c r="B319" s="8" t="s">
        <v>29</v>
      </c>
      <c r="C319" s="9"/>
      <c r="D319" s="133"/>
      <c r="E319" s="133"/>
      <c r="F319" s="155"/>
    </row>
    <row r="320" spans="1:6" ht="18">
      <c r="A320" s="86"/>
      <c r="B320" s="48" t="s">
        <v>170</v>
      </c>
      <c r="C320" s="250" t="s">
        <v>131</v>
      </c>
      <c r="D320" s="270">
        <v>5</v>
      </c>
      <c r="E320" s="287">
        <f>0.7*498677.47776</f>
        <v>349074.23443199997</v>
      </c>
      <c r="F320" s="316">
        <f>D320*E320</f>
        <v>1745371.1721599998</v>
      </c>
    </row>
    <row r="321" spans="1:6" ht="19.5">
      <c r="A321" s="87"/>
      <c r="B321" s="8" t="s">
        <v>5</v>
      </c>
      <c r="C321" s="12"/>
      <c r="D321" s="135"/>
      <c r="E321" s="135"/>
      <c r="F321" s="162">
        <f>F320</f>
        <v>1745371.1721599998</v>
      </c>
    </row>
    <row r="322" spans="1:6" ht="18">
      <c r="A322" s="86"/>
      <c r="B322" s="13"/>
      <c r="C322" s="9"/>
      <c r="D322" s="133"/>
      <c r="E322" s="133"/>
      <c r="F322" s="155"/>
    </row>
    <row r="323" spans="1:6" ht="18">
      <c r="A323" s="230"/>
      <c r="B323" s="8" t="s">
        <v>33</v>
      </c>
      <c r="C323" s="9"/>
      <c r="D323" s="133"/>
      <c r="E323" s="133"/>
      <c r="F323" s="155"/>
    </row>
    <row r="324" spans="1:6" ht="18">
      <c r="A324" s="86"/>
      <c r="B324" s="13" t="s">
        <v>34</v>
      </c>
      <c r="C324" s="9" t="s">
        <v>21</v>
      </c>
      <c r="D324" s="118">
        <f>D318/2</f>
        <v>2.5</v>
      </c>
      <c r="E324" s="133">
        <v>10760</v>
      </c>
      <c r="F324" s="155">
        <f>+D324*E324</f>
        <v>26900</v>
      </c>
    </row>
    <row r="325" spans="1:6" ht="18">
      <c r="A325" s="86"/>
      <c r="B325" s="13" t="s">
        <v>7</v>
      </c>
      <c r="C325" s="9" t="s">
        <v>21</v>
      </c>
      <c r="D325" s="118">
        <f>+D324*4</f>
        <v>10</v>
      </c>
      <c r="E325" s="133">
        <v>4000</v>
      </c>
      <c r="F325" s="155">
        <f>+D325*E325</f>
        <v>40000</v>
      </c>
    </row>
    <row r="326" spans="1:6" ht="19.5">
      <c r="A326" s="87"/>
      <c r="B326" s="8" t="s">
        <v>39</v>
      </c>
      <c r="C326" s="12"/>
      <c r="D326" s="135"/>
      <c r="E326" s="135"/>
      <c r="F326" s="162">
        <f>SUM(F324:F325)</f>
        <v>66900</v>
      </c>
    </row>
    <row r="327" spans="1:6" ht="18">
      <c r="A327" s="1">
        <v>18.02</v>
      </c>
      <c r="B327" s="2" t="s">
        <v>169</v>
      </c>
      <c r="C327" s="274" t="s">
        <v>131</v>
      </c>
      <c r="D327" s="272">
        <v>1</v>
      </c>
      <c r="E327" s="286">
        <f>F327/D327</f>
        <v>406088.51373599999</v>
      </c>
      <c r="F327" s="324">
        <f>F330+F335</f>
        <v>406088.51373599999</v>
      </c>
    </row>
    <row r="328" spans="1:6" ht="18">
      <c r="A328" s="229"/>
      <c r="B328" s="8" t="s">
        <v>29</v>
      </c>
      <c r="C328" s="9"/>
      <c r="D328" s="133"/>
      <c r="E328" s="133"/>
      <c r="F328" s="155"/>
    </row>
    <row r="329" spans="1:6" ht="18">
      <c r="A329" s="86"/>
      <c r="B329" s="48" t="s">
        <v>165</v>
      </c>
      <c r="C329" s="250" t="s">
        <v>131</v>
      </c>
      <c r="D329" s="270">
        <v>1</v>
      </c>
      <c r="E329" s="287">
        <f>0.7*561012.16248</f>
        <v>392708.51373599999</v>
      </c>
      <c r="F329" s="316">
        <f>D329*E329</f>
        <v>392708.51373599999</v>
      </c>
    </row>
    <row r="330" spans="1:6" ht="19.5">
      <c r="A330" s="87"/>
      <c r="B330" s="8" t="s">
        <v>5</v>
      </c>
      <c r="C330" s="12"/>
      <c r="D330" s="135"/>
      <c r="E330" s="135"/>
      <c r="F330" s="162">
        <f>F329</f>
        <v>392708.51373599999</v>
      </c>
    </row>
    <row r="331" spans="1:6" ht="18">
      <c r="A331" s="86"/>
      <c r="B331" s="13"/>
      <c r="C331" s="9"/>
      <c r="D331" s="133"/>
      <c r="E331" s="133"/>
      <c r="F331" s="155"/>
    </row>
    <row r="332" spans="1:6" ht="18">
      <c r="A332" s="230"/>
      <c r="B332" s="8" t="s">
        <v>33</v>
      </c>
      <c r="C332" s="9"/>
      <c r="D332" s="133"/>
      <c r="E332" s="133"/>
      <c r="F332" s="155"/>
    </row>
    <row r="333" spans="1:6" ht="18">
      <c r="A333" s="86"/>
      <c r="B333" s="13" t="s">
        <v>34</v>
      </c>
      <c r="C333" s="9" t="s">
        <v>21</v>
      </c>
      <c r="D333" s="118">
        <f>D327/2</f>
        <v>0.5</v>
      </c>
      <c r="E333" s="133">
        <v>10760</v>
      </c>
      <c r="F333" s="155">
        <f>+D333*E333</f>
        <v>5380</v>
      </c>
    </row>
    <row r="334" spans="1:6" ht="18">
      <c r="A334" s="86"/>
      <c r="B334" s="13" t="s">
        <v>7</v>
      </c>
      <c r="C334" s="9" t="s">
        <v>21</v>
      </c>
      <c r="D334" s="118">
        <f>+D333*4</f>
        <v>2</v>
      </c>
      <c r="E334" s="133">
        <v>4000</v>
      </c>
      <c r="F334" s="155">
        <f>+D334*E334</f>
        <v>8000</v>
      </c>
    </row>
    <row r="335" spans="1:6" ht="19.5">
      <c r="A335" s="170"/>
      <c r="B335" s="8" t="s">
        <v>39</v>
      </c>
      <c r="C335" s="12"/>
      <c r="D335" s="135"/>
      <c r="E335" s="135"/>
      <c r="F335" s="162">
        <f>SUM(F333:F334)</f>
        <v>13380</v>
      </c>
    </row>
    <row r="336" spans="1:6" s="383" customFormat="1" ht="36">
      <c r="A336" s="199">
        <v>19.010000000000002</v>
      </c>
      <c r="B336" s="16" t="s">
        <v>196</v>
      </c>
      <c r="C336" s="3" t="s">
        <v>50</v>
      </c>
      <c r="D336" s="17">
        <f>(3*5)+(5*2.5*2)+(2.1*2.5)+(3*2.5)</f>
        <v>52.75</v>
      </c>
      <c r="E336" s="3">
        <f>F336/D336</f>
        <v>16124.906574399094</v>
      </c>
      <c r="F336" s="307">
        <f>F344+F349</f>
        <v>850588.82179955218</v>
      </c>
    </row>
    <row r="337" spans="1:6">
      <c r="A337" s="310"/>
      <c r="B337" s="13"/>
      <c r="C337" s="9"/>
      <c r="D337" s="24">
        <f>D336*0.016</f>
        <v>0.84399999999999997</v>
      </c>
      <c r="E337" s="9"/>
      <c r="F337" s="386"/>
    </row>
    <row r="338" spans="1:6" ht="16.5">
      <c r="A338" s="310"/>
      <c r="B338" s="60" t="s">
        <v>51</v>
      </c>
      <c r="C338" s="44"/>
      <c r="D338" s="9"/>
      <c r="E338" s="9"/>
      <c r="F338" s="356"/>
    </row>
    <row r="339" spans="1:6">
      <c r="A339" s="310"/>
      <c r="B339" s="48" t="s">
        <v>191</v>
      </c>
      <c r="C339" s="23" t="s">
        <v>1</v>
      </c>
      <c r="D339" s="24">
        <f>D336*1.2</f>
        <v>63.3</v>
      </c>
      <c r="E339" s="24">
        <f>11000/1.18</f>
        <v>9322.033898305086</v>
      </c>
      <c r="F339" s="356">
        <f>D339*E339</f>
        <v>590084.74576271197</v>
      </c>
    </row>
    <row r="340" spans="1:6">
      <c r="A340" s="310"/>
      <c r="B340" s="21" t="s">
        <v>41</v>
      </c>
      <c r="C340" s="23" t="s">
        <v>31</v>
      </c>
      <c r="D340" s="24">
        <f>D337*1.57*(1/5)*1440/50</f>
        <v>7.6324608000000014</v>
      </c>
      <c r="E340" s="9">
        <v>9322.033898305086</v>
      </c>
      <c r="F340" s="356">
        <f>D340*E340</f>
        <v>71150.058305084764</v>
      </c>
    </row>
    <row r="341" spans="1:6">
      <c r="B341" s="273" t="s">
        <v>192</v>
      </c>
      <c r="C341" s="149" t="s">
        <v>28</v>
      </c>
      <c r="D341" s="234">
        <f>D337*1.57*(4/5)</f>
        <v>1.0600640000000001</v>
      </c>
      <c r="E341" s="384">
        <v>25000</v>
      </c>
      <c r="F341" s="385">
        <f>D341*E341</f>
        <v>26501.600000000002</v>
      </c>
    </row>
    <row r="342" spans="1:6">
      <c r="B342" s="21" t="s">
        <v>193</v>
      </c>
      <c r="C342" s="23" t="s">
        <v>4</v>
      </c>
      <c r="D342" s="24">
        <f>D337*40</f>
        <v>33.76</v>
      </c>
      <c r="E342" s="24">
        <v>10</v>
      </c>
      <c r="F342" s="46">
        <f>D342*E342</f>
        <v>337.59999999999997</v>
      </c>
    </row>
    <row r="343" spans="1:6">
      <c r="B343" s="21" t="s">
        <v>194</v>
      </c>
      <c r="C343" s="23" t="s">
        <v>195</v>
      </c>
      <c r="D343" s="24">
        <f>D339/84.5</f>
        <v>0.74911242603550288</v>
      </c>
      <c r="E343" s="24">
        <v>2500</v>
      </c>
      <c r="F343" s="46">
        <f>D343*E343</f>
        <v>1872.7810650887573</v>
      </c>
    </row>
    <row r="344" spans="1:6" s="63" customFormat="1" ht="16.5">
      <c r="A344" s="326"/>
      <c r="B344" s="22" t="s">
        <v>39</v>
      </c>
      <c r="C344" s="28"/>
      <c r="D344" s="29"/>
      <c r="E344" s="29"/>
      <c r="F344" s="62">
        <f>SUM(F339:F343)</f>
        <v>689946.78513288556</v>
      </c>
    </row>
    <row r="345" spans="1:6">
      <c r="B345" s="48"/>
      <c r="C345" s="44"/>
      <c r="D345" s="24"/>
      <c r="E345" s="9"/>
      <c r="F345" s="46"/>
    </row>
    <row r="346" spans="1:6" ht="16.5">
      <c r="B346" s="60" t="s">
        <v>53</v>
      </c>
      <c r="C346" s="44"/>
      <c r="D346" s="9"/>
      <c r="E346" s="9"/>
      <c r="F346" s="46"/>
    </row>
    <row r="347" spans="1:6">
      <c r="B347" s="48" t="s">
        <v>34</v>
      </c>
      <c r="C347" s="44" t="s">
        <v>8</v>
      </c>
      <c r="D347" s="24">
        <f>D336/6</f>
        <v>8.7916666666666661</v>
      </c>
      <c r="E347" s="24">
        <v>6088.08</v>
      </c>
      <c r="F347" s="46">
        <f>D347*E347</f>
        <v>53524.369999999995</v>
      </c>
    </row>
    <row r="348" spans="1:6">
      <c r="B348" s="48" t="s">
        <v>7</v>
      </c>
      <c r="C348" s="44" t="s">
        <v>8</v>
      </c>
      <c r="D348" s="9">
        <f>D347*4</f>
        <v>35.166666666666664</v>
      </c>
      <c r="E348" s="24">
        <v>3046</v>
      </c>
      <c r="F348" s="46">
        <f>D348*E348</f>
        <v>107117.66666666666</v>
      </c>
    </row>
    <row r="349" spans="1:6" s="63" customFormat="1" ht="16.5">
      <c r="A349" s="326"/>
      <c r="B349" s="378" t="s">
        <v>119</v>
      </c>
      <c r="C349" s="379"/>
      <c r="D349" s="380"/>
      <c r="E349" s="381"/>
      <c r="F349" s="382">
        <f>F347+F348</f>
        <v>160642.03666666665</v>
      </c>
    </row>
    <row r="350" spans="1:6">
      <c r="B350" s="373"/>
      <c r="C350" s="374"/>
      <c r="D350" s="375"/>
      <c r="E350" s="376"/>
      <c r="F350" s="377"/>
    </row>
    <row r="351" spans="1:6" ht="36.5">
      <c r="B351" s="477" t="s">
        <v>179</v>
      </c>
      <c r="C351" s="477"/>
      <c r="D351" s="477"/>
      <c r="E351" s="477"/>
      <c r="F351" s="346">
        <f>F327+F318+F307+F289+F276+F259+F247+F235+F216+F196+F182+F171+F160+F147+F136+F125+F112+F100+F89+F78+F58+F40+F30+F22+F14+F7+F3+F336</f>
        <v>5625578.0131707303</v>
      </c>
    </row>
  </sheetData>
  <mergeCells count="15">
    <mergeCell ref="B306:F306"/>
    <mergeCell ref="B317:F317"/>
    <mergeCell ref="B351:E351"/>
    <mergeCell ref="B2:F2"/>
    <mergeCell ref="B13:F13"/>
    <mergeCell ref="B39:F39"/>
    <mergeCell ref="B77:F77"/>
    <mergeCell ref="B124:F124"/>
    <mergeCell ref="B288:F288"/>
    <mergeCell ref="B246:F246"/>
    <mergeCell ref="B159:F159"/>
    <mergeCell ref="B181:F181"/>
    <mergeCell ref="B195:F195"/>
    <mergeCell ref="B215:F215"/>
    <mergeCell ref="B275:F27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28"/>
  <sheetViews>
    <sheetView topLeftCell="A316" workbookViewId="0">
      <selection activeCell="F328" sqref="F328"/>
    </sheetView>
  </sheetViews>
  <sheetFormatPr defaultColWidth="8.90625" defaultRowHeight="16.5"/>
  <cols>
    <col min="1" max="1" width="8.90625" style="83"/>
    <col min="2" max="2" width="66.90625" style="107" customWidth="1"/>
    <col min="3" max="3" width="8.90625" style="110"/>
    <col min="4" max="4" width="16.453125" style="249" customWidth="1"/>
    <col min="5" max="5" width="21.6328125" style="285" customWidth="1"/>
    <col min="6" max="6" width="27.453125" style="285" customWidth="1"/>
  </cols>
  <sheetData>
    <row r="1" spans="1:6" s="227" customFormat="1" ht="30.65" customHeight="1">
      <c r="A1" s="226"/>
      <c r="B1" s="150" t="s">
        <v>120</v>
      </c>
      <c r="C1" s="150" t="s">
        <v>121</v>
      </c>
      <c r="D1" s="325" t="s">
        <v>122</v>
      </c>
      <c r="E1" s="303" t="s">
        <v>123</v>
      </c>
      <c r="F1" s="305" t="s">
        <v>124</v>
      </c>
    </row>
    <row r="2" spans="1:6" ht="19.649999999999999" customHeight="1">
      <c r="A2" s="151">
        <v>1</v>
      </c>
      <c r="B2" s="478" t="s">
        <v>93</v>
      </c>
      <c r="C2" s="478"/>
      <c r="D2" s="478"/>
      <c r="E2" s="478"/>
      <c r="F2" s="479"/>
    </row>
    <row r="3" spans="1:6" ht="18.649999999999999" customHeight="1">
      <c r="A3" s="152">
        <v>1.01</v>
      </c>
      <c r="B3" s="16" t="s">
        <v>94</v>
      </c>
      <c r="C3" s="35" t="s">
        <v>28</v>
      </c>
      <c r="D3" s="125">
        <f>23*0.8*0.4</f>
        <v>7.3600000000000012</v>
      </c>
      <c r="E3" s="138">
        <f>SUM(F3)/D3</f>
        <v>4444.4444444444443</v>
      </c>
      <c r="F3" s="153">
        <f>F6</f>
        <v>32711.111111111117</v>
      </c>
    </row>
    <row r="4" spans="1:6" ht="18.649999999999999" customHeight="1">
      <c r="A4" s="154"/>
      <c r="B4" s="8" t="s">
        <v>6</v>
      </c>
      <c r="C4" s="9"/>
      <c r="D4" s="118"/>
      <c r="E4" s="133"/>
      <c r="F4" s="155"/>
    </row>
    <row r="5" spans="1:6" s="63" customFormat="1" ht="18.649999999999999" customHeight="1">
      <c r="A5" s="154"/>
      <c r="B5" s="13" t="s">
        <v>7</v>
      </c>
      <c r="C5" s="9" t="s">
        <v>8</v>
      </c>
      <c r="D5" s="118">
        <f>D3/0.9</f>
        <v>8.1777777777777789</v>
      </c>
      <c r="E5" s="133">
        <v>4000</v>
      </c>
      <c r="F5" s="155">
        <f>+D5*E5</f>
        <v>32711.111111111117</v>
      </c>
    </row>
    <row r="6" spans="1:6" ht="18.649999999999999" customHeight="1">
      <c r="A6" s="156"/>
      <c r="B6" s="60" t="s">
        <v>9</v>
      </c>
      <c r="C6" s="61"/>
      <c r="D6" s="120"/>
      <c r="E6" s="279"/>
      <c r="F6" s="290">
        <f>F5</f>
        <v>32711.111111111117</v>
      </c>
    </row>
    <row r="7" spans="1:6" ht="18.649999999999999" customHeight="1">
      <c r="A7" s="152">
        <v>1.03</v>
      </c>
      <c r="B7" s="16" t="s">
        <v>114</v>
      </c>
      <c r="C7" s="35" t="s">
        <v>28</v>
      </c>
      <c r="D7" s="125">
        <f>(0.75*0.75*1.25)*5</f>
        <v>3.515625</v>
      </c>
      <c r="E7" s="138">
        <f>SUM(F7)/D7</f>
        <v>5640</v>
      </c>
      <c r="F7" s="153">
        <f>F11</f>
        <v>19828.125</v>
      </c>
    </row>
    <row r="8" spans="1:6" ht="18.649999999999999" customHeight="1">
      <c r="A8" s="154"/>
      <c r="B8" s="8" t="s">
        <v>6</v>
      </c>
      <c r="C8" s="9"/>
      <c r="D8" s="118"/>
      <c r="E8" s="133"/>
      <c r="F8" s="155"/>
    </row>
    <row r="9" spans="1:6" ht="18.649999999999999" customHeight="1">
      <c r="A9" s="154"/>
      <c r="B9" s="13" t="s">
        <v>92</v>
      </c>
      <c r="C9" s="9" t="s">
        <v>8</v>
      </c>
      <c r="D9" s="118">
        <f>D10/10</f>
        <v>0.390625</v>
      </c>
      <c r="E9" s="133">
        <v>10760</v>
      </c>
      <c r="F9" s="155">
        <f>D9*E9</f>
        <v>4203.125</v>
      </c>
    </row>
    <row r="10" spans="1:6" ht="18.649999999999999" customHeight="1">
      <c r="A10" s="154"/>
      <c r="B10" s="13" t="s">
        <v>7</v>
      </c>
      <c r="C10" s="9" t="s">
        <v>8</v>
      </c>
      <c r="D10" s="118">
        <f>D7/0.9</f>
        <v>3.90625</v>
      </c>
      <c r="E10" s="133">
        <v>4000</v>
      </c>
      <c r="F10" s="155">
        <f>+D10*E10</f>
        <v>15625</v>
      </c>
    </row>
    <row r="11" spans="1:6" ht="18.649999999999999" customHeight="1">
      <c r="A11" s="156"/>
      <c r="B11" s="60" t="s">
        <v>9</v>
      </c>
      <c r="C11" s="61"/>
      <c r="D11" s="120"/>
      <c r="E11" s="279"/>
      <c r="F11" s="290">
        <f>SUM(F9:F10)</f>
        <v>19828.125</v>
      </c>
    </row>
    <row r="12" spans="1:6" ht="18.649999999999999" customHeight="1">
      <c r="A12" s="157"/>
      <c r="B12" s="60"/>
      <c r="C12" s="44"/>
      <c r="D12" s="127"/>
      <c r="E12" s="280"/>
      <c r="F12" s="291"/>
    </row>
    <row r="13" spans="1:6" ht="36.65" customHeight="1">
      <c r="A13" s="158">
        <v>2</v>
      </c>
      <c r="B13" s="480" t="s">
        <v>0</v>
      </c>
      <c r="C13" s="480"/>
      <c r="D13" s="480"/>
      <c r="E13" s="480"/>
      <c r="F13" s="481"/>
    </row>
    <row r="14" spans="1:6" s="63" customFormat="1" ht="18.649999999999999" customHeight="1">
      <c r="A14" s="159">
        <v>2.0099999999999998</v>
      </c>
      <c r="B14" s="2" t="s">
        <v>71</v>
      </c>
      <c r="C14" s="3" t="s">
        <v>1</v>
      </c>
      <c r="D14" s="117">
        <f>23*0.4</f>
        <v>9.2000000000000011</v>
      </c>
      <c r="E14" s="134">
        <f>F14/D14</f>
        <v>1066.6666666666667</v>
      </c>
      <c r="F14" s="160">
        <f>F16+F20</f>
        <v>9813.3333333333358</v>
      </c>
    </row>
    <row r="15" spans="1:6" ht="18.649999999999999" customHeight="1">
      <c r="A15" s="154"/>
      <c r="B15" s="8" t="s">
        <v>2</v>
      </c>
      <c r="C15" s="9"/>
      <c r="D15" s="118"/>
      <c r="E15" s="133"/>
      <c r="F15" s="155"/>
    </row>
    <row r="16" spans="1:6" s="82" customFormat="1" ht="19.399999999999999" customHeight="1">
      <c r="A16" s="154"/>
      <c r="B16" s="48" t="s">
        <v>3</v>
      </c>
      <c r="C16" s="9" t="s">
        <v>4</v>
      </c>
      <c r="D16" s="118">
        <f>D14/10</f>
        <v>0.92000000000000015</v>
      </c>
      <c r="E16" s="133">
        <v>10000</v>
      </c>
      <c r="F16" s="155">
        <f>D16*E16</f>
        <v>9200.0000000000018</v>
      </c>
    </row>
    <row r="17" spans="1:6" ht="18.649999999999999" customHeight="1">
      <c r="A17" s="161"/>
      <c r="B17" s="60" t="s">
        <v>5</v>
      </c>
      <c r="C17" s="12"/>
      <c r="D17" s="121"/>
      <c r="E17" s="135"/>
      <c r="F17" s="162">
        <f>SUM(F16)</f>
        <v>9200.0000000000018</v>
      </c>
    </row>
    <row r="18" spans="1:6" ht="18.649999999999999" customHeight="1">
      <c r="A18" s="154"/>
      <c r="B18" s="48"/>
      <c r="C18" s="9"/>
      <c r="D18" s="118"/>
      <c r="E18" s="133"/>
      <c r="F18" s="155"/>
    </row>
    <row r="19" spans="1:6" ht="18.649999999999999" customHeight="1">
      <c r="A19" s="154"/>
      <c r="B19" s="8" t="s">
        <v>6</v>
      </c>
      <c r="C19" s="9"/>
      <c r="D19" s="118"/>
      <c r="E19" s="133"/>
      <c r="F19" s="155"/>
    </row>
    <row r="20" spans="1:6" ht="18.649999999999999" customHeight="1">
      <c r="A20" s="154"/>
      <c r="B20" s="13" t="s">
        <v>7</v>
      </c>
      <c r="C20" s="9" t="s">
        <v>8</v>
      </c>
      <c r="D20" s="118">
        <f>D14/60</f>
        <v>0.15333333333333335</v>
      </c>
      <c r="E20" s="133">
        <v>4000</v>
      </c>
      <c r="F20" s="155">
        <f>D20*E20</f>
        <v>613.33333333333337</v>
      </c>
    </row>
    <row r="21" spans="1:6" ht="18.649999999999999" customHeight="1">
      <c r="A21" s="156"/>
      <c r="B21" s="60" t="s">
        <v>9</v>
      </c>
      <c r="C21" s="61"/>
      <c r="D21" s="120"/>
      <c r="E21" s="279"/>
      <c r="F21" s="290">
        <f>F20</f>
        <v>613.33333333333337</v>
      </c>
    </row>
    <row r="22" spans="1:6" ht="18.649999999999999" customHeight="1">
      <c r="A22" s="159">
        <v>2.02</v>
      </c>
      <c r="B22" s="2" t="s">
        <v>97</v>
      </c>
      <c r="C22" s="3" t="s">
        <v>1</v>
      </c>
      <c r="D22" s="117">
        <v>30</v>
      </c>
      <c r="E22" s="134">
        <f>F22/D22</f>
        <v>1066.6666666666667</v>
      </c>
      <c r="F22" s="160">
        <f>F24+F28</f>
        <v>32000</v>
      </c>
    </row>
    <row r="23" spans="1:6" ht="18.649999999999999" customHeight="1">
      <c r="A23" s="154"/>
      <c r="B23" s="8" t="s">
        <v>2</v>
      </c>
      <c r="C23" s="9"/>
      <c r="D23" s="118"/>
      <c r="E23" s="133"/>
      <c r="F23" s="155"/>
    </row>
    <row r="24" spans="1:6" ht="18.649999999999999" customHeight="1">
      <c r="A24" s="154"/>
      <c r="B24" s="48" t="s">
        <v>3</v>
      </c>
      <c r="C24" s="9" t="s">
        <v>4</v>
      </c>
      <c r="D24" s="118">
        <f>D22/10</f>
        <v>3</v>
      </c>
      <c r="E24" s="133">
        <v>10000</v>
      </c>
      <c r="F24" s="155">
        <f>D24*E24</f>
        <v>30000</v>
      </c>
    </row>
    <row r="25" spans="1:6" ht="18.649999999999999" customHeight="1">
      <c r="A25" s="161"/>
      <c r="B25" s="60" t="s">
        <v>5</v>
      </c>
      <c r="C25" s="12"/>
      <c r="D25" s="121"/>
      <c r="E25" s="135"/>
      <c r="F25" s="162">
        <f>SUM(F24)</f>
        <v>30000</v>
      </c>
    </row>
    <row r="26" spans="1:6" ht="18.649999999999999" customHeight="1">
      <c r="A26" s="154"/>
      <c r="B26" s="48"/>
      <c r="C26" s="9"/>
      <c r="D26" s="118"/>
      <c r="E26" s="133"/>
      <c r="F26" s="155"/>
    </row>
    <row r="27" spans="1:6" ht="18.649999999999999" customHeight="1">
      <c r="A27" s="154"/>
      <c r="B27" s="8" t="s">
        <v>6</v>
      </c>
      <c r="C27" s="9"/>
      <c r="D27" s="118"/>
      <c r="E27" s="133"/>
      <c r="F27" s="155"/>
    </row>
    <row r="28" spans="1:6" ht="18.649999999999999" customHeight="1">
      <c r="A28" s="154"/>
      <c r="B28" s="13" t="s">
        <v>7</v>
      </c>
      <c r="C28" s="9" t="s">
        <v>8</v>
      </c>
      <c r="D28" s="118">
        <f>D22/60</f>
        <v>0.5</v>
      </c>
      <c r="E28" s="133">
        <v>4000</v>
      </c>
      <c r="F28" s="155">
        <f>D28*E28</f>
        <v>2000</v>
      </c>
    </row>
    <row r="29" spans="1:6" ht="18.649999999999999" customHeight="1">
      <c r="A29" s="156"/>
      <c r="B29" s="60" t="s">
        <v>9</v>
      </c>
      <c r="C29" s="61"/>
      <c r="D29" s="120"/>
      <c r="E29" s="279"/>
      <c r="F29" s="290">
        <f>F28</f>
        <v>2000</v>
      </c>
    </row>
    <row r="30" spans="1:6" ht="18.649999999999999" customHeight="1">
      <c r="A30" s="152">
        <v>2.0299999999999998</v>
      </c>
      <c r="B30" s="16" t="s">
        <v>96</v>
      </c>
      <c r="C30" s="35" t="s">
        <v>1</v>
      </c>
      <c r="D30" s="125">
        <f>(0.75*0.75)*5</f>
        <v>2.8125</v>
      </c>
      <c r="E30" s="138">
        <f>SUM(F30)/D30</f>
        <v>1066.6666666666667</v>
      </c>
      <c r="F30" s="153">
        <f>F33+F37</f>
        <v>3000</v>
      </c>
    </row>
    <row r="31" spans="1:6" ht="18.649999999999999" customHeight="1">
      <c r="A31" s="154"/>
      <c r="B31" s="8" t="s">
        <v>2</v>
      </c>
      <c r="C31" s="9"/>
      <c r="D31" s="118"/>
      <c r="E31" s="133"/>
      <c r="F31" s="155"/>
    </row>
    <row r="32" spans="1:6" ht="18.649999999999999" customHeight="1">
      <c r="A32" s="154"/>
      <c r="B32" s="48" t="s">
        <v>3</v>
      </c>
      <c r="C32" s="9" t="s">
        <v>4</v>
      </c>
      <c r="D32" s="118">
        <f>D30/10</f>
        <v>0.28125</v>
      </c>
      <c r="E32" s="133">
        <v>10000</v>
      </c>
      <c r="F32" s="155">
        <f>D32*E32</f>
        <v>2812.5</v>
      </c>
    </row>
    <row r="33" spans="1:6" ht="18.649999999999999" customHeight="1">
      <c r="A33" s="161"/>
      <c r="B33" s="60" t="s">
        <v>5</v>
      </c>
      <c r="C33" s="12"/>
      <c r="D33" s="121"/>
      <c r="E33" s="135"/>
      <c r="F33" s="162">
        <f>SUM(F32)</f>
        <v>2812.5</v>
      </c>
    </row>
    <row r="34" spans="1:6" ht="18.649999999999999" customHeight="1">
      <c r="A34" s="161"/>
      <c r="B34" s="60"/>
      <c r="C34" s="12"/>
      <c r="D34" s="121"/>
      <c r="E34" s="135"/>
      <c r="F34" s="162"/>
    </row>
    <row r="35" spans="1:6" ht="18.649999999999999" customHeight="1">
      <c r="A35" s="154"/>
      <c r="B35" s="8" t="s">
        <v>6</v>
      </c>
      <c r="C35" s="9"/>
      <c r="D35" s="118"/>
      <c r="E35" s="133"/>
      <c r="F35" s="155"/>
    </row>
    <row r="36" spans="1:6" ht="18.649999999999999" customHeight="1">
      <c r="A36" s="154"/>
      <c r="B36" s="13" t="s">
        <v>7</v>
      </c>
      <c r="C36" s="9" t="s">
        <v>8</v>
      </c>
      <c r="D36" s="118">
        <f>D30/60</f>
        <v>4.6875E-2</v>
      </c>
      <c r="E36" s="133">
        <v>4000</v>
      </c>
      <c r="F36" s="155">
        <f>+D36*E36</f>
        <v>187.5</v>
      </c>
    </row>
    <row r="37" spans="1:6" ht="18.649999999999999" customHeight="1">
      <c r="A37" s="156"/>
      <c r="B37" s="60" t="s">
        <v>9</v>
      </c>
      <c r="C37" s="61"/>
      <c r="D37" s="120"/>
      <c r="E37" s="279"/>
      <c r="F37" s="290">
        <f>SUM(F36:F36)</f>
        <v>187.5</v>
      </c>
    </row>
    <row r="38" spans="1:6" ht="18.649999999999999" customHeight="1">
      <c r="A38" s="156"/>
      <c r="B38" s="60"/>
      <c r="C38" s="61"/>
      <c r="D38" s="120"/>
      <c r="E38" s="279"/>
      <c r="F38" s="290"/>
    </row>
    <row r="39" spans="1:6" ht="18.649999999999999" customHeight="1">
      <c r="A39" s="163">
        <v>3</v>
      </c>
      <c r="B39" s="482" t="s">
        <v>77</v>
      </c>
      <c r="C39" s="482"/>
      <c r="D39" s="482"/>
      <c r="E39" s="482"/>
      <c r="F39" s="483"/>
    </row>
    <row r="40" spans="1:6" ht="18.649999999999999" customHeight="1">
      <c r="A40" s="152">
        <v>3.01</v>
      </c>
      <c r="B40" s="16" t="s">
        <v>71</v>
      </c>
      <c r="C40" s="3" t="s">
        <v>1</v>
      </c>
      <c r="D40" s="117">
        <f>23*0.4</f>
        <v>9.2000000000000011</v>
      </c>
      <c r="E40" s="134">
        <f>SUM(F40)/D40</f>
        <v>5296.1648205128204</v>
      </c>
      <c r="F40" s="160">
        <f>F47+F51+F57</f>
        <v>48724.71634871795</v>
      </c>
    </row>
    <row r="41" spans="1:6" ht="18.649999999999999" customHeight="1">
      <c r="A41" s="164"/>
      <c r="B41" s="19"/>
      <c r="C41" s="20" t="s">
        <v>10</v>
      </c>
      <c r="D41" s="137">
        <f>D40*0.05</f>
        <v>0.46000000000000008</v>
      </c>
      <c r="E41" s="136"/>
      <c r="F41" s="165"/>
    </row>
    <row r="42" spans="1:6" s="82" customFormat="1" ht="18.649999999999999" customHeight="1">
      <c r="A42" s="166"/>
      <c r="B42" s="97" t="s">
        <v>2</v>
      </c>
      <c r="C42" s="23"/>
      <c r="D42" s="118"/>
      <c r="E42" s="133"/>
      <c r="F42" s="292"/>
    </row>
    <row r="43" spans="1:6" ht="18.649999999999999" customHeight="1">
      <c r="A43" s="166"/>
      <c r="B43" s="98" t="s">
        <v>11</v>
      </c>
      <c r="C43" s="23" t="s">
        <v>12</v>
      </c>
      <c r="D43" s="118">
        <f>D41*(1/13)*1.57*(1440/50)</f>
        <v>1.5999507692307695</v>
      </c>
      <c r="E43" s="133">
        <v>12000</v>
      </c>
      <c r="F43" s="292">
        <f>D43*E43</f>
        <v>19199.409230769234</v>
      </c>
    </row>
    <row r="44" spans="1:6" ht="18.649999999999999" customHeight="1">
      <c r="A44" s="166"/>
      <c r="B44" s="98" t="s">
        <v>13</v>
      </c>
      <c r="C44" s="23" t="s">
        <v>10</v>
      </c>
      <c r="D44" s="118">
        <f>D41*(4/13)*1.57</f>
        <v>0.22221538461538465</v>
      </c>
      <c r="E44" s="133">
        <v>25000</v>
      </c>
      <c r="F44" s="292">
        <f>D44*E44</f>
        <v>5555.3846153846162</v>
      </c>
    </row>
    <row r="45" spans="1:6" ht="18.649999999999999" customHeight="1">
      <c r="A45" s="166"/>
      <c r="B45" s="98" t="s">
        <v>14</v>
      </c>
      <c r="C45" s="23" t="s">
        <v>10</v>
      </c>
      <c r="D45" s="118">
        <f>D41*(8/13)*1.57</f>
        <v>0.4444307692307693</v>
      </c>
      <c r="E45" s="133">
        <v>27000</v>
      </c>
      <c r="F45" s="292">
        <f>D45*E45</f>
        <v>11999.630769230771</v>
      </c>
    </row>
    <row r="46" spans="1:6" ht="18.649999999999999" customHeight="1">
      <c r="A46" s="166"/>
      <c r="B46" s="98" t="s">
        <v>15</v>
      </c>
      <c r="C46" s="23" t="s">
        <v>16</v>
      </c>
      <c r="D46" s="118">
        <f>D50*10</f>
        <v>0.76666666666666672</v>
      </c>
      <c r="E46" s="133">
        <v>1587</v>
      </c>
      <c r="F46" s="292">
        <f>D46*E46</f>
        <v>1216.7</v>
      </c>
    </row>
    <row r="47" spans="1:6" ht="18.649999999999999" customHeight="1">
      <c r="A47" s="167"/>
      <c r="B47" s="97" t="s">
        <v>18</v>
      </c>
      <c r="C47" s="28"/>
      <c r="D47" s="121"/>
      <c r="E47" s="135"/>
      <c r="F47" s="293">
        <f>SUM(F43:F46)</f>
        <v>37971.124615384615</v>
      </c>
    </row>
    <row r="48" spans="1:6" ht="18.649999999999999" customHeight="1">
      <c r="A48" s="166"/>
      <c r="B48" s="98"/>
      <c r="C48" s="23"/>
      <c r="D48" s="118"/>
      <c r="E48" s="133"/>
      <c r="F48" s="292"/>
    </row>
    <row r="49" spans="1:6" ht="18.649999999999999" customHeight="1">
      <c r="A49" s="166"/>
      <c r="B49" s="97" t="s">
        <v>19</v>
      </c>
      <c r="C49" s="23"/>
      <c r="D49" s="118"/>
      <c r="E49" s="133"/>
      <c r="F49" s="292"/>
    </row>
    <row r="50" spans="1:6" ht="18.649999999999999" customHeight="1">
      <c r="A50" s="166"/>
      <c r="B50" s="98" t="s">
        <v>20</v>
      </c>
      <c r="C50" s="23" t="s">
        <v>21</v>
      </c>
      <c r="D50" s="118">
        <f>D41/6</f>
        <v>7.6666666666666675E-2</v>
      </c>
      <c r="E50" s="133">
        <v>50000</v>
      </c>
      <c r="F50" s="292">
        <f>D50*E50</f>
        <v>3833.3333333333339</v>
      </c>
    </row>
    <row r="51" spans="1:6" ht="18.649999999999999" customHeight="1">
      <c r="A51" s="167"/>
      <c r="B51" s="97" t="s">
        <v>23</v>
      </c>
      <c r="C51" s="28"/>
      <c r="D51" s="121"/>
      <c r="E51" s="135"/>
      <c r="F51" s="293">
        <f>SUM(F50:F50)</f>
        <v>3833.3333333333339</v>
      </c>
    </row>
    <row r="52" spans="1:6" ht="18.649999999999999" customHeight="1">
      <c r="A52" s="166"/>
      <c r="B52" s="98"/>
      <c r="C52" s="23"/>
      <c r="D52" s="118"/>
      <c r="E52" s="133"/>
      <c r="F52" s="292"/>
    </row>
    <row r="53" spans="1:6" ht="18.649999999999999" customHeight="1">
      <c r="A53" s="166"/>
      <c r="B53" s="97" t="s">
        <v>6</v>
      </c>
      <c r="C53" s="23"/>
      <c r="D53" s="118"/>
      <c r="E53" s="133"/>
      <c r="F53" s="292"/>
    </row>
    <row r="54" spans="1:6" ht="18.649999999999999" customHeight="1">
      <c r="A54" s="166"/>
      <c r="B54" s="98" t="s">
        <v>24</v>
      </c>
      <c r="C54" s="23" t="s">
        <v>21</v>
      </c>
      <c r="D54" s="118">
        <f>(D41/6)*2</f>
        <v>0.15333333333333335</v>
      </c>
      <c r="E54" s="133">
        <v>6088.08</v>
      </c>
      <c r="F54" s="292">
        <f>D54*E54</f>
        <v>933.50560000000007</v>
      </c>
    </row>
    <row r="55" spans="1:6" ht="18.649999999999999" customHeight="1">
      <c r="A55" s="166"/>
      <c r="B55" s="98" t="s">
        <v>25</v>
      </c>
      <c r="C55" s="23" t="s">
        <v>21</v>
      </c>
      <c r="D55" s="118">
        <f>(D41/6)*18</f>
        <v>1.3800000000000001</v>
      </c>
      <c r="E55" s="133">
        <v>4000</v>
      </c>
      <c r="F55" s="292">
        <f>D55*E55</f>
        <v>5520.0000000000009</v>
      </c>
    </row>
    <row r="56" spans="1:6" ht="18.649999999999999" customHeight="1">
      <c r="A56" s="166"/>
      <c r="B56" s="98" t="s">
        <v>26</v>
      </c>
      <c r="C56" s="23" t="s">
        <v>21</v>
      </c>
      <c r="D56" s="118">
        <f>D50</f>
        <v>7.6666666666666675E-2</v>
      </c>
      <c r="E56" s="133">
        <v>6088.08</v>
      </c>
      <c r="F56" s="292">
        <f>D56*E56</f>
        <v>466.75280000000004</v>
      </c>
    </row>
    <row r="57" spans="1:6" ht="18.649999999999999" customHeight="1">
      <c r="A57" s="167"/>
      <c r="B57" s="97" t="s">
        <v>27</v>
      </c>
      <c r="C57" s="28"/>
      <c r="D57" s="121"/>
      <c r="E57" s="135"/>
      <c r="F57" s="293">
        <f>SUM(F54:F56)</f>
        <v>6920.2584000000015</v>
      </c>
    </row>
    <row r="58" spans="1:6" ht="18.649999999999999" customHeight="1">
      <c r="A58" s="152">
        <v>3.02</v>
      </c>
      <c r="B58" s="16" t="s">
        <v>98</v>
      </c>
      <c r="C58" s="3" t="s">
        <v>1</v>
      </c>
      <c r="D58" s="117">
        <f>(0.75*0.75)*5</f>
        <v>2.8125</v>
      </c>
      <c r="E58" s="134">
        <f>SUM(F58)/D58</f>
        <v>5296.1648205128204</v>
      </c>
      <c r="F58" s="160">
        <f>F65+F69+F75</f>
        <v>14895.463557692306</v>
      </c>
    </row>
    <row r="59" spans="1:6" ht="18.649999999999999" customHeight="1">
      <c r="A59" s="164"/>
      <c r="B59" s="19"/>
      <c r="C59" s="20" t="s">
        <v>10</v>
      </c>
      <c r="D59" s="137">
        <f>D58*0.05</f>
        <v>0.140625</v>
      </c>
      <c r="E59" s="136"/>
      <c r="F59" s="165"/>
    </row>
    <row r="60" spans="1:6" ht="18.649999999999999" customHeight="1">
      <c r="A60" s="166"/>
      <c r="B60" s="97" t="s">
        <v>2</v>
      </c>
      <c r="C60" s="23"/>
      <c r="D60" s="118"/>
      <c r="E60" s="133"/>
      <c r="F60" s="292"/>
    </row>
    <row r="61" spans="1:6" ht="18.649999999999999" customHeight="1">
      <c r="A61" s="166"/>
      <c r="B61" s="98" t="s">
        <v>11</v>
      </c>
      <c r="C61" s="23" t="s">
        <v>12</v>
      </c>
      <c r="D61" s="118">
        <f>D59*(1/13)*1.57*(1440/50)</f>
        <v>0.48911538461538462</v>
      </c>
      <c r="E61" s="133">
        <v>12000</v>
      </c>
      <c r="F61" s="292">
        <f>D61*E61</f>
        <v>5869.3846153846152</v>
      </c>
    </row>
    <row r="62" spans="1:6" ht="18.649999999999999" customHeight="1">
      <c r="A62" s="166"/>
      <c r="B62" s="98" t="s">
        <v>13</v>
      </c>
      <c r="C62" s="23" t="s">
        <v>10</v>
      </c>
      <c r="D62" s="118">
        <f>D59*(4/13)*1.57</f>
        <v>6.7932692307692305E-2</v>
      </c>
      <c r="E62" s="133">
        <v>25000</v>
      </c>
      <c r="F62" s="292">
        <f>D62*E62</f>
        <v>1698.3173076923076</v>
      </c>
    </row>
    <row r="63" spans="1:6" ht="18.649999999999999" customHeight="1">
      <c r="A63" s="166"/>
      <c r="B63" s="98" t="s">
        <v>14</v>
      </c>
      <c r="C63" s="23" t="s">
        <v>10</v>
      </c>
      <c r="D63" s="118">
        <f>D59*(8/13)*1.57</f>
        <v>0.13586538461538461</v>
      </c>
      <c r="E63" s="133">
        <v>27000</v>
      </c>
      <c r="F63" s="292">
        <f>D63*E63</f>
        <v>3668.3653846153843</v>
      </c>
    </row>
    <row r="64" spans="1:6" ht="18.649999999999999" customHeight="1">
      <c r="A64" s="166"/>
      <c r="B64" s="98" t="s">
        <v>15</v>
      </c>
      <c r="C64" s="23" t="s">
        <v>16</v>
      </c>
      <c r="D64" s="118">
        <f>D68*10</f>
        <v>0.234375</v>
      </c>
      <c r="E64" s="133">
        <v>1587</v>
      </c>
      <c r="F64" s="292">
        <f>D64*E64</f>
        <v>371.953125</v>
      </c>
    </row>
    <row r="65" spans="1:6" ht="18.649999999999999" customHeight="1">
      <c r="A65" s="167"/>
      <c r="B65" s="97" t="s">
        <v>18</v>
      </c>
      <c r="C65" s="28"/>
      <c r="D65" s="121"/>
      <c r="E65" s="135"/>
      <c r="F65" s="293">
        <f>SUM(F61:F64)</f>
        <v>11608.020432692307</v>
      </c>
    </row>
    <row r="66" spans="1:6" ht="18" customHeight="1">
      <c r="A66" s="166"/>
      <c r="B66" s="98"/>
      <c r="C66" s="23"/>
      <c r="D66" s="118"/>
      <c r="E66" s="133"/>
      <c r="F66" s="292"/>
    </row>
    <row r="67" spans="1:6" ht="18" customHeight="1">
      <c r="A67" s="166"/>
      <c r="B67" s="97" t="s">
        <v>19</v>
      </c>
      <c r="C67" s="23"/>
      <c r="D67" s="118"/>
      <c r="E67" s="133"/>
      <c r="F67" s="292"/>
    </row>
    <row r="68" spans="1:6" ht="18" customHeight="1">
      <c r="A68" s="166"/>
      <c r="B68" s="98" t="s">
        <v>20</v>
      </c>
      <c r="C68" s="23" t="s">
        <v>21</v>
      </c>
      <c r="D68" s="118">
        <f>D59/6</f>
        <v>2.34375E-2</v>
      </c>
      <c r="E68" s="133">
        <v>50000</v>
      </c>
      <c r="F68" s="292">
        <f>D68*E68</f>
        <v>1171.875</v>
      </c>
    </row>
    <row r="69" spans="1:6" ht="18" customHeight="1">
      <c r="A69" s="167"/>
      <c r="B69" s="97" t="s">
        <v>23</v>
      </c>
      <c r="C69" s="28"/>
      <c r="D69" s="121"/>
      <c r="E69" s="135"/>
      <c r="F69" s="293">
        <f>SUM(F68:F68)</f>
        <v>1171.875</v>
      </c>
    </row>
    <row r="70" spans="1:6" ht="18" customHeight="1">
      <c r="A70" s="166"/>
      <c r="B70" s="98"/>
      <c r="C70" s="23"/>
      <c r="D70" s="118"/>
      <c r="E70" s="133"/>
      <c r="F70" s="292"/>
    </row>
    <row r="71" spans="1:6" ht="18" customHeight="1">
      <c r="A71" s="166"/>
      <c r="B71" s="97" t="s">
        <v>6</v>
      </c>
      <c r="C71" s="23"/>
      <c r="D71" s="118"/>
      <c r="E71" s="133"/>
      <c r="F71" s="292"/>
    </row>
    <row r="72" spans="1:6" ht="18" customHeight="1">
      <c r="A72" s="166"/>
      <c r="B72" s="98" t="s">
        <v>24</v>
      </c>
      <c r="C72" s="23" t="s">
        <v>21</v>
      </c>
      <c r="D72" s="118">
        <f>(D59/6)*2</f>
        <v>4.6875E-2</v>
      </c>
      <c r="E72" s="133">
        <v>6088.08</v>
      </c>
      <c r="F72" s="292">
        <f>D72*E72</f>
        <v>285.37874999999997</v>
      </c>
    </row>
    <row r="73" spans="1:6" ht="18" customHeight="1">
      <c r="A73" s="166"/>
      <c r="B73" s="98" t="s">
        <v>25</v>
      </c>
      <c r="C73" s="23" t="s">
        <v>21</v>
      </c>
      <c r="D73" s="118">
        <f>(D59/6)*18</f>
        <v>0.421875</v>
      </c>
      <c r="E73" s="133">
        <v>4000</v>
      </c>
      <c r="F73" s="292">
        <f>D73*E73</f>
        <v>1687.5</v>
      </c>
    </row>
    <row r="74" spans="1:6" ht="18" customHeight="1">
      <c r="A74" s="166"/>
      <c r="B74" s="98" t="s">
        <v>26</v>
      </c>
      <c r="C74" s="23" t="s">
        <v>21</v>
      </c>
      <c r="D74" s="118">
        <f>D68</f>
        <v>2.34375E-2</v>
      </c>
      <c r="E74" s="133">
        <v>6088.08</v>
      </c>
      <c r="F74" s="292">
        <f>D74*E74</f>
        <v>142.68937499999998</v>
      </c>
    </row>
    <row r="75" spans="1:6" ht="18" customHeight="1">
      <c r="A75" s="167"/>
      <c r="B75" s="97" t="s">
        <v>27</v>
      </c>
      <c r="C75" s="28"/>
      <c r="D75" s="121"/>
      <c r="E75" s="135"/>
      <c r="F75" s="293">
        <f>SUM(F72:F74)</f>
        <v>2115.5681249999998</v>
      </c>
    </row>
    <row r="76" spans="1:6" ht="18" customHeight="1">
      <c r="A76" s="167"/>
      <c r="B76" s="97"/>
      <c r="C76" s="28"/>
      <c r="D76" s="121"/>
      <c r="E76" s="135"/>
      <c r="F76" s="293"/>
    </row>
    <row r="77" spans="1:6" ht="18" customHeight="1">
      <c r="A77" s="168">
        <v>4</v>
      </c>
      <c r="B77" s="484" t="s">
        <v>82</v>
      </c>
      <c r="C77" s="484"/>
      <c r="D77" s="484"/>
      <c r="E77" s="484"/>
      <c r="F77" s="485"/>
    </row>
    <row r="78" spans="1:6" ht="18" customHeight="1">
      <c r="A78" s="152">
        <v>4.01</v>
      </c>
      <c r="B78" s="99" t="s">
        <v>83</v>
      </c>
      <c r="C78" s="69" t="s">
        <v>50</v>
      </c>
      <c r="D78" s="125">
        <f>((0.75*0.2)*4)*5</f>
        <v>3.0000000000000004</v>
      </c>
      <c r="E78" s="138">
        <f>F78/D78</f>
        <v>12874.418832391711</v>
      </c>
      <c r="F78" s="294">
        <f>F83+F88</f>
        <v>38623.256497175142</v>
      </c>
    </row>
    <row r="79" spans="1:6" ht="18" customHeight="1">
      <c r="A79" s="166"/>
      <c r="B79" s="97" t="s">
        <v>2</v>
      </c>
      <c r="C79" s="23"/>
      <c r="D79" s="118"/>
      <c r="E79" s="133"/>
      <c r="F79" s="292"/>
    </row>
    <row r="80" spans="1:6" s="85" customFormat="1" ht="35.4" customHeight="1">
      <c r="A80" s="166"/>
      <c r="B80" s="98" t="s">
        <v>84</v>
      </c>
      <c r="C80" s="23" t="s">
        <v>85</v>
      </c>
      <c r="D80" s="118">
        <f>D78/(2.4*1.2)/2</f>
        <v>0.52083333333333348</v>
      </c>
      <c r="E80" s="133">
        <v>32000</v>
      </c>
      <c r="F80" s="292">
        <f>D80*E80</f>
        <v>16666.666666666672</v>
      </c>
    </row>
    <row r="81" spans="1:6" ht="18.649999999999999" customHeight="1">
      <c r="A81" s="166"/>
      <c r="B81" s="98" t="s">
        <v>86</v>
      </c>
      <c r="C81" s="23" t="s">
        <v>44</v>
      </c>
      <c r="D81" s="118">
        <f>D78*1.5</f>
        <v>4.5000000000000009</v>
      </c>
      <c r="E81" s="133">
        <v>4000</v>
      </c>
      <c r="F81" s="292">
        <f>D81*E81</f>
        <v>18000.000000000004</v>
      </c>
    </row>
    <row r="82" spans="1:6" ht="18.649999999999999" customHeight="1">
      <c r="A82" s="154"/>
      <c r="B82" s="98" t="s">
        <v>87</v>
      </c>
      <c r="C82" s="23" t="s">
        <v>88</v>
      </c>
      <c r="D82" s="118">
        <f>D78*0.25</f>
        <v>0.75000000000000011</v>
      </c>
      <c r="E82" s="133">
        <f>1500/1.18</f>
        <v>1271.1864406779662</v>
      </c>
      <c r="F82" s="292">
        <f>D82*E82</f>
        <v>953.3898305084748</v>
      </c>
    </row>
    <row r="83" spans="1:6" ht="18.649999999999999" customHeight="1">
      <c r="A83" s="154"/>
      <c r="B83" s="97" t="s">
        <v>89</v>
      </c>
      <c r="C83" s="28"/>
      <c r="D83" s="121"/>
      <c r="E83" s="135"/>
      <c r="F83" s="293">
        <f>SUM(F80:F82)</f>
        <v>35620.056497175145</v>
      </c>
    </row>
    <row r="84" spans="1:6" ht="18.649999999999999" customHeight="1">
      <c r="A84" s="154"/>
      <c r="B84" s="98"/>
      <c r="C84" s="23"/>
      <c r="D84" s="118"/>
      <c r="E84" s="133"/>
      <c r="F84" s="292"/>
    </row>
    <row r="85" spans="1:6" ht="18.649999999999999" customHeight="1">
      <c r="A85" s="157"/>
      <c r="B85" s="97" t="s">
        <v>6</v>
      </c>
      <c r="C85" s="23"/>
      <c r="D85" s="118"/>
      <c r="E85" s="133"/>
      <c r="F85" s="292"/>
    </row>
    <row r="86" spans="1:6" ht="18.649999999999999" customHeight="1">
      <c r="A86" s="157"/>
      <c r="B86" s="98" t="s">
        <v>90</v>
      </c>
      <c r="C86" s="23" t="s">
        <v>21</v>
      </c>
      <c r="D86" s="118">
        <f>D78/15</f>
        <v>0.20000000000000004</v>
      </c>
      <c r="E86" s="133">
        <v>7016</v>
      </c>
      <c r="F86" s="292">
        <f>D86*E86</f>
        <v>1403.2000000000003</v>
      </c>
    </row>
    <row r="87" spans="1:6" ht="18.649999999999999" customHeight="1">
      <c r="A87" s="157"/>
      <c r="B87" s="98" t="s">
        <v>25</v>
      </c>
      <c r="C87" s="23" t="s">
        <v>21</v>
      </c>
      <c r="D87" s="118">
        <f>D86*2</f>
        <v>0.40000000000000008</v>
      </c>
      <c r="E87" s="133">
        <v>4000</v>
      </c>
      <c r="F87" s="292">
        <f>D87*E87</f>
        <v>1600.0000000000002</v>
      </c>
    </row>
    <row r="88" spans="1:6" ht="18.649999999999999" customHeight="1">
      <c r="A88" s="166"/>
      <c r="B88" s="97" t="s">
        <v>91</v>
      </c>
      <c r="C88" s="28"/>
      <c r="D88" s="121"/>
      <c r="E88" s="135"/>
      <c r="F88" s="293">
        <f>SUM(F86:F87)</f>
        <v>3003.2000000000007</v>
      </c>
    </row>
    <row r="89" spans="1:6" ht="18.649999999999999" customHeight="1">
      <c r="A89" s="152">
        <v>4.0199999999999996</v>
      </c>
      <c r="B89" s="99" t="s">
        <v>118</v>
      </c>
      <c r="C89" s="69" t="s">
        <v>50</v>
      </c>
      <c r="D89" s="125">
        <f>((1.05*0.3)*4)*5</f>
        <v>6.3</v>
      </c>
      <c r="E89" s="138">
        <f>F89/D89</f>
        <v>12874.418832391715</v>
      </c>
      <c r="F89" s="294">
        <f>F94+F99</f>
        <v>81108.8386440678</v>
      </c>
    </row>
    <row r="90" spans="1:6" ht="18.649999999999999" customHeight="1">
      <c r="A90" s="166"/>
      <c r="B90" s="97" t="s">
        <v>2</v>
      </c>
      <c r="C90" s="23"/>
      <c r="D90" s="118"/>
      <c r="E90" s="133"/>
      <c r="F90" s="292"/>
    </row>
    <row r="91" spans="1:6" ht="18.649999999999999" customHeight="1">
      <c r="A91" s="166"/>
      <c r="B91" s="98" t="s">
        <v>84</v>
      </c>
      <c r="C91" s="23" t="s">
        <v>85</v>
      </c>
      <c r="D91" s="118">
        <f>D89/(2.4*1.2)/2</f>
        <v>1.09375</v>
      </c>
      <c r="E91" s="133">
        <v>32000</v>
      </c>
      <c r="F91" s="292">
        <f>D91*E91</f>
        <v>35000</v>
      </c>
    </row>
    <row r="92" spans="1:6" ht="18.649999999999999" customHeight="1">
      <c r="A92" s="166"/>
      <c r="B92" s="98" t="s">
        <v>86</v>
      </c>
      <c r="C92" s="23" t="s">
        <v>44</v>
      </c>
      <c r="D92" s="118">
        <f>D89*1.5</f>
        <v>9.4499999999999993</v>
      </c>
      <c r="E92" s="133">
        <v>4000</v>
      </c>
      <c r="F92" s="292">
        <f>D92*E92</f>
        <v>37800</v>
      </c>
    </row>
    <row r="93" spans="1:6" ht="18.649999999999999" customHeight="1">
      <c r="A93" s="154"/>
      <c r="B93" s="98" t="s">
        <v>87</v>
      </c>
      <c r="C93" s="23" t="s">
        <v>88</v>
      </c>
      <c r="D93" s="118">
        <f>D89*0.25</f>
        <v>1.575</v>
      </c>
      <c r="E93" s="133">
        <f>1500/1.18</f>
        <v>1271.1864406779662</v>
      </c>
      <c r="F93" s="292">
        <f>D93*E93</f>
        <v>2002.1186440677966</v>
      </c>
    </row>
    <row r="94" spans="1:6" ht="18.649999999999999" customHeight="1">
      <c r="A94" s="154"/>
      <c r="B94" s="97" t="s">
        <v>89</v>
      </c>
      <c r="C94" s="28"/>
      <c r="D94" s="121"/>
      <c r="E94" s="135"/>
      <c r="F94" s="293">
        <f>SUM(F91:F93)</f>
        <v>74802.118644067799</v>
      </c>
    </row>
    <row r="95" spans="1:6" ht="18.649999999999999" customHeight="1">
      <c r="A95" s="154"/>
      <c r="B95" s="98"/>
      <c r="C95" s="23"/>
      <c r="D95" s="118"/>
      <c r="E95" s="133"/>
      <c r="F95" s="292"/>
    </row>
    <row r="96" spans="1:6" ht="18.649999999999999" customHeight="1">
      <c r="A96" s="157"/>
      <c r="B96" s="97" t="s">
        <v>6</v>
      </c>
      <c r="C96" s="23"/>
      <c r="D96" s="118"/>
      <c r="E96" s="133"/>
      <c r="F96" s="292"/>
    </row>
    <row r="97" spans="1:6" ht="18.649999999999999" customHeight="1">
      <c r="A97" s="157"/>
      <c r="B97" s="98" t="s">
        <v>90</v>
      </c>
      <c r="C97" s="23" t="s">
        <v>21</v>
      </c>
      <c r="D97" s="118">
        <f>D89/15</f>
        <v>0.42</v>
      </c>
      <c r="E97" s="133">
        <v>7016</v>
      </c>
      <c r="F97" s="292">
        <f>D97*E97</f>
        <v>2946.72</v>
      </c>
    </row>
    <row r="98" spans="1:6" ht="18.649999999999999" customHeight="1">
      <c r="A98" s="157"/>
      <c r="B98" s="98" t="s">
        <v>25</v>
      </c>
      <c r="C98" s="23" t="s">
        <v>21</v>
      </c>
      <c r="D98" s="118">
        <f>D97*2</f>
        <v>0.84</v>
      </c>
      <c r="E98" s="133">
        <v>4000</v>
      </c>
      <c r="F98" s="292">
        <f>D98*E98</f>
        <v>3360</v>
      </c>
    </row>
    <row r="99" spans="1:6" ht="18.649999999999999" customHeight="1">
      <c r="A99" s="166"/>
      <c r="B99" s="97" t="s">
        <v>91</v>
      </c>
      <c r="C99" s="28"/>
      <c r="D99" s="121"/>
      <c r="E99" s="135"/>
      <c r="F99" s="293">
        <f>SUM(F97:F98)</f>
        <v>6306.7199999999993</v>
      </c>
    </row>
    <row r="100" spans="1:6" ht="18.649999999999999" customHeight="1">
      <c r="A100" s="152">
        <v>4.03</v>
      </c>
      <c r="B100" s="99" t="s">
        <v>95</v>
      </c>
      <c r="C100" s="69" t="s">
        <v>36</v>
      </c>
      <c r="D100" s="125">
        <f>((3.1*0.3)*4)*5</f>
        <v>18.599999999999998</v>
      </c>
      <c r="E100" s="138">
        <f>F100/D100</f>
        <v>12874.418832391713</v>
      </c>
      <c r="F100" s="294">
        <f>F105+F110</f>
        <v>239464.19028248586</v>
      </c>
    </row>
    <row r="101" spans="1:6" ht="18.649999999999999" customHeight="1">
      <c r="A101" s="166"/>
      <c r="B101" s="97" t="s">
        <v>2</v>
      </c>
      <c r="C101" s="23"/>
      <c r="D101" s="118"/>
      <c r="E101" s="133"/>
      <c r="F101" s="292"/>
    </row>
    <row r="102" spans="1:6" ht="18.649999999999999" customHeight="1">
      <c r="A102" s="166"/>
      <c r="B102" s="98" t="s">
        <v>84</v>
      </c>
      <c r="C102" s="23" t="s">
        <v>85</v>
      </c>
      <c r="D102" s="118">
        <f>D100/(2.4*1.2)/2</f>
        <v>3.2291666666666665</v>
      </c>
      <c r="E102" s="133">
        <v>32000</v>
      </c>
      <c r="F102" s="292">
        <f>D102*E102</f>
        <v>103333.33333333333</v>
      </c>
    </row>
    <row r="103" spans="1:6" ht="18.649999999999999" customHeight="1">
      <c r="A103" s="166"/>
      <c r="B103" s="98" t="s">
        <v>86</v>
      </c>
      <c r="C103" s="23" t="s">
        <v>44</v>
      </c>
      <c r="D103" s="118">
        <f>D100*1.5</f>
        <v>27.9</v>
      </c>
      <c r="E103" s="133">
        <v>4000</v>
      </c>
      <c r="F103" s="292">
        <f>D103*E103</f>
        <v>111600</v>
      </c>
    </row>
    <row r="104" spans="1:6" ht="18.649999999999999" customHeight="1">
      <c r="A104" s="154"/>
      <c r="B104" s="98" t="s">
        <v>87</v>
      </c>
      <c r="C104" s="23" t="s">
        <v>88</v>
      </c>
      <c r="D104" s="118">
        <f>D100*0.25</f>
        <v>4.6499999999999995</v>
      </c>
      <c r="E104" s="133">
        <f>1500/1.18</f>
        <v>1271.1864406779662</v>
      </c>
      <c r="F104" s="292">
        <f>D104*E104</f>
        <v>5911.0169491525421</v>
      </c>
    </row>
    <row r="105" spans="1:6" ht="18.649999999999999" customHeight="1">
      <c r="A105" s="154"/>
      <c r="B105" s="97" t="s">
        <v>89</v>
      </c>
      <c r="C105" s="28"/>
      <c r="D105" s="121"/>
      <c r="E105" s="135"/>
      <c r="F105" s="293">
        <f>SUM(F102:F104)</f>
        <v>220844.35028248586</v>
      </c>
    </row>
    <row r="106" spans="1:6" ht="18.649999999999999" customHeight="1">
      <c r="A106" s="154"/>
      <c r="B106" s="98"/>
      <c r="C106" s="23"/>
      <c r="D106" s="118"/>
      <c r="E106" s="133"/>
      <c r="F106" s="292"/>
    </row>
    <row r="107" spans="1:6" ht="18.649999999999999" customHeight="1">
      <c r="A107" s="157"/>
      <c r="B107" s="97" t="s">
        <v>6</v>
      </c>
      <c r="C107" s="23"/>
      <c r="D107" s="118"/>
      <c r="E107" s="133"/>
      <c r="F107" s="292"/>
    </row>
    <row r="108" spans="1:6" ht="18.649999999999999" customHeight="1">
      <c r="A108" s="157"/>
      <c r="B108" s="98" t="s">
        <v>90</v>
      </c>
      <c r="C108" s="23" t="s">
        <v>21</v>
      </c>
      <c r="D108" s="118">
        <f>D100/15</f>
        <v>1.2399999999999998</v>
      </c>
      <c r="E108" s="133">
        <v>7016</v>
      </c>
      <c r="F108" s="292">
        <f>D108*E108</f>
        <v>8699.8399999999983</v>
      </c>
    </row>
    <row r="109" spans="1:6" ht="18.649999999999999" customHeight="1">
      <c r="A109" s="157"/>
      <c r="B109" s="98" t="s">
        <v>25</v>
      </c>
      <c r="C109" s="23" t="s">
        <v>21</v>
      </c>
      <c r="D109" s="118">
        <f>D108*2</f>
        <v>2.4799999999999995</v>
      </c>
      <c r="E109" s="133">
        <v>4000</v>
      </c>
      <c r="F109" s="292">
        <f>D109*E109</f>
        <v>9919.9999999999982</v>
      </c>
    </row>
    <row r="110" spans="1:6" ht="18.649999999999999" customHeight="1">
      <c r="A110" s="166"/>
      <c r="B110" s="11" t="s">
        <v>9</v>
      </c>
      <c r="C110" s="28"/>
      <c r="D110" s="121"/>
      <c r="E110" s="135"/>
      <c r="F110" s="293">
        <f>SUM(F108:F109)</f>
        <v>18619.839999999997</v>
      </c>
    </row>
    <row r="111" spans="1:6" ht="18.649999999999999" customHeight="1">
      <c r="A111" s="166"/>
      <c r="B111" s="11"/>
      <c r="C111" s="28"/>
      <c r="D111" s="121"/>
      <c r="E111" s="135"/>
      <c r="F111" s="293"/>
    </row>
    <row r="112" spans="1:6" ht="18.649999999999999" customHeight="1">
      <c r="A112" s="169">
        <v>5</v>
      </c>
      <c r="B112" s="99" t="s">
        <v>105</v>
      </c>
      <c r="C112" s="69" t="s">
        <v>88</v>
      </c>
      <c r="D112" s="125">
        <v>180.67</v>
      </c>
      <c r="E112" s="138">
        <f>F112/D112</f>
        <v>1573.0956685499059</v>
      </c>
      <c r="F112" s="294">
        <f>F117+F122</f>
        <v>284211.19443691149</v>
      </c>
    </row>
    <row r="113" spans="1:14" ht="18.649999999999999" customHeight="1">
      <c r="A113" s="166"/>
      <c r="B113" s="97" t="s">
        <v>2</v>
      </c>
      <c r="C113" s="23"/>
      <c r="D113" s="118"/>
      <c r="E113" s="133"/>
      <c r="F113" s="292"/>
    </row>
    <row r="114" spans="1:14" ht="18.649999999999999" customHeight="1">
      <c r="A114" s="166"/>
      <c r="B114" s="98" t="s">
        <v>106</v>
      </c>
      <c r="C114" s="23" t="s">
        <v>88</v>
      </c>
      <c r="D114" s="118">
        <f>D112*1.1</f>
        <v>198.73699999999999</v>
      </c>
      <c r="E114" s="133">
        <f>1300/1.18</f>
        <v>1101.6949152542375</v>
      </c>
      <c r="F114" s="292">
        <f>D114*E114</f>
        <v>218947.54237288138</v>
      </c>
    </row>
    <row r="115" spans="1:14" s="6" customFormat="1">
      <c r="A115" s="166"/>
      <c r="B115" s="98" t="s">
        <v>107</v>
      </c>
      <c r="C115" s="23" t="s">
        <v>88</v>
      </c>
      <c r="D115" s="118">
        <f>D112*2.5%</f>
        <v>4.51675</v>
      </c>
      <c r="E115" s="133">
        <f>1300/1.18</f>
        <v>1101.6949152542375</v>
      </c>
      <c r="F115" s="292">
        <f>D115*E115</f>
        <v>4976.0805084745771</v>
      </c>
      <c r="K115" s="79"/>
      <c r="L115" s="79"/>
      <c r="M115" s="79"/>
      <c r="N115" s="32"/>
    </row>
    <row r="116" spans="1:14" s="6" customFormat="1">
      <c r="A116" s="166"/>
      <c r="B116" s="98"/>
      <c r="C116" s="23"/>
      <c r="D116" s="118"/>
      <c r="E116" s="133"/>
      <c r="F116" s="292"/>
      <c r="K116" s="79"/>
      <c r="L116" s="79"/>
      <c r="M116" s="79"/>
      <c r="N116" s="7"/>
    </row>
    <row r="117" spans="1:14" s="6" customFormat="1" ht="17">
      <c r="A117" s="167"/>
      <c r="B117" s="97" t="s">
        <v>108</v>
      </c>
      <c r="C117" s="28"/>
      <c r="D117" s="121"/>
      <c r="E117" s="135"/>
      <c r="F117" s="293">
        <f>SUM(F114:F116)</f>
        <v>223923.62288135596</v>
      </c>
      <c r="K117" s="79"/>
      <c r="L117" s="79"/>
      <c r="M117" s="79"/>
      <c r="N117" s="7"/>
    </row>
    <row r="118" spans="1:14" s="6" customFormat="1">
      <c r="A118" s="166"/>
      <c r="B118" s="98"/>
      <c r="C118" s="23"/>
      <c r="D118" s="118"/>
      <c r="E118" s="133"/>
      <c r="F118" s="292"/>
      <c r="K118" s="79"/>
      <c r="L118" s="79"/>
      <c r="M118" s="79"/>
      <c r="N118" s="7"/>
    </row>
    <row r="119" spans="1:14" s="6" customFormat="1">
      <c r="A119" s="166"/>
      <c r="B119" s="97" t="s">
        <v>6</v>
      </c>
      <c r="C119" s="23"/>
      <c r="D119" s="118"/>
      <c r="E119" s="133"/>
      <c r="F119" s="292"/>
      <c r="K119" s="79"/>
      <c r="L119" s="79"/>
      <c r="M119" s="79"/>
      <c r="N119" s="7"/>
    </row>
    <row r="120" spans="1:14" s="6" customFormat="1">
      <c r="A120" s="166"/>
      <c r="B120" s="98" t="s">
        <v>109</v>
      </c>
      <c r="C120" s="23" t="s">
        <v>8</v>
      </c>
      <c r="D120" s="118">
        <f>D112/45</f>
        <v>4.0148888888888887</v>
      </c>
      <c r="E120" s="133">
        <v>7016</v>
      </c>
      <c r="F120" s="292">
        <f>D120*E120</f>
        <v>28168.460444444445</v>
      </c>
      <c r="K120" s="79"/>
      <c r="L120" s="79"/>
      <c r="M120" s="79"/>
      <c r="N120" s="7"/>
    </row>
    <row r="121" spans="1:14" s="6" customFormat="1">
      <c r="A121" s="166"/>
      <c r="B121" s="98" t="s">
        <v>110</v>
      </c>
      <c r="C121" s="23" t="s">
        <v>8</v>
      </c>
      <c r="D121" s="118">
        <f>D120*2</f>
        <v>8.0297777777777775</v>
      </c>
      <c r="E121" s="133">
        <v>4000</v>
      </c>
      <c r="F121" s="292">
        <f>D121*E121</f>
        <v>32119.111111111109</v>
      </c>
      <c r="K121" s="79"/>
      <c r="L121" s="79"/>
      <c r="M121" s="79"/>
      <c r="N121" s="7"/>
    </row>
    <row r="122" spans="1:14" s="6" customFormat="1" ht="17">
      <c r="A122" s="167"/>
      <c r="B122" s="97" t="s">
        <v>111</v>
      </c>
      <c r="C122" s="28"/>
      <c r="D122" s="121"/>
      <c r="E122" s="135"/>
      <c r="F122" s="293">
        <f>F120+F121</f>
        <v>60287.571555555551</v>
      </c>
      <c r="K122" s="79"/>
      <c r="L122" s="79"/>
      <c r="M122" s="79"/>
      <c r="N122" s="7"/>
    </row>
    <row r="123" spans="1:14" s="6" customFormat="1" ht="17">
      <c r="A123" s="167"/>
      <c r="B123" s="97"/>
      <c r="C123" s="28"/>
      <c r="D123" s="121"/>
      <c r="E123" s="135"/>
      <c r="F123" s="293"/>
      <c r="K123" s="79"/>
      <c r="L123" s="79"/>
      <c r="M123" s="79"/>
      <c r="N123" s="7"/>
    </row>
    <row r="124" spans="1:14" s="6" customFormat="1" ht="19.5">
      <c r="A124" s="170">
        <v>6</v>
      </c>
      <c r="B124" s="486" t="s">
        <v>101</v>
      </c>
      <c r="C124" s="486"/>
      <c r="D124" s="486"/>
      <c r="E124" s="486"/>
      <c r="F124" s="487"/>
      <c r="K124" s="79"/>
      <c r="L124" s="79"/>
      <c r="M124" s="79"/>
      <c r="N124" s="7"/>
    </row>
    <row r="125" spans="1:14" s="6" customFormat="1" ht="18">
      <c r="A125" s="152">
        <v>6.01</v>
      </c>
      <c r="B125" s="99" t="s">
        <v>102</v>
      </c>
      <c r="C125" s="69" t="s">
        <v>10</v>
      </c>
      <c r="D125" s="125">
        <f>(0.7*0.7*0.15)*5</f>
        <v>0.36749999999999994</v>
      </c>
      <c r="E125" s="138">
        <f>F125/D125</f>
        <v>118514.68</v>
      </c>
      <c r="F125" s="294">
        <f>F128+F135+F132</f>
        <v>43554.144899999992</v>
      </c>
      <c r="K125" s="79"/>
      <c r="L125" s="79"/>
      <c r="M125" s="79"/>
      <c r="N125" s="7"/>
    </row>
    <row r="126" spans="1:14" s="6" customFormat="1">
      <c r="A126" s="171"/>
      <c r="B126" s="101" t="s">
        <v>2</v>
      </c>
      <c r="C126" s="56"/>
      <c r="D126" s="137"/>
      <c r="E126" s="136"/>
      <c r="F126" s="295"/>
      <c r="K126" s="79"/>
      <c r="L126" s="79"/>
      <c r="M126" s="79"/>
      <c r="N126" s="7"/>
    </row>
    <row r="127" spans="1:14" s="30" customFormat="1" ht="21" customHeight="1">
      <c r="A127" s="171"/>
      <c r="B127" s="102" t="s">
        <v>99</v>
      </c>
      <c r="C127" s="56" t="s">
        <v>28</v>
      </c>
      <c r="D127" s="137">
        <f>D125*1.1</f>
        <v>0.40424999999999994</v>
      </c>
      <c r="E127" s="136">
        <v>100000</v>
      </c>
      <c r="F127" s="295">
        <f>D127*E127</f>
        <v>40424.999999999993</v>
      </c>
      <c r="K127" s="74"/>
      <c r="L127" s="74"/>
      <c r="M127" s="74"/>
      <c r="N127" s="75"/>
    </row>
    <row r="128" spans="1:14" s="52" customFormat="1" ht="17">
      <c r="A128" s="172"/>
      <c r="B128" s="101" t="s">
        <v>100</v>
      </c>
      <c r="C128" s="57"/>
      <c r="D128" s="124"/>
      <c r="E128" s="262"/>
      <c r="F128" s="296">
        <f>F127</f>
        <v>40424.999999999993</v>
      </c>
      <c r="K128" s="320"/>
      <c r="L128" s="320"/>
      <c r="M128" s="320"/>
      <c r="N128" s="43"/>
    </row>
    <row r="129" spans="1:14" s="26" customFormat="1" ht="17">
      <c r="A129" s="172"/>
      <c r="B129" s="101"/>
      <c r="C129" s="57"/>
      <c r="D129" s="124"/>
      <c r="E129" s="262"/>
      <c r="F129" s="296"/>
      <c r="K129" s="71"/>
      <c r="L129" s="71"/>
      <c r="M129" s="71"/>
      <c r="N129" s="27"/>
    </row>
    <row r="130" spans="1:14" s="26" customFormat="1">
      <c r="A130" s="166"/>
      <c r="B130" s="97" t="s">
        <v>19</v>
      </c>
      <c r="C130" s="23"/>
      <c r="D130" s="118"/>
      <c r="E130" s="133"/>
      <c r="F130" s="292"/>
      <c r="K130" s="71"/>
      <c r="L130" s="71"/>
      <c r="M130" s="71"/>
      <c r="N130" s="27"/>
    </row>
    <row r="131" spans="1:14" s="39" customFormat="1">
      <c r="A131" s="166"/>
      <c r="B131" s="98" t="s">
        <v>22</v>
      </c>
      <c r="C131" s="23" t="s">
        <v>21</v>
      </c>
      <c r="D131" s="118">
        <f>D125/6</f>
        <v>6.1249999999999992E-2</v>
      </c>
      <c r="E131" s="133">
        <v>15000</v>
      </c>
      <c r="F131" s="292">
        <f>D131*E131</f>
        <v>918.74999999999989</v>
      </c>
      <c r="K131" s="73"/>
      <c r="L131" s="73"/>
      <c r="M131" s="73"/>
      <c r="N131" s="40"/>
    </row>
    <row r="132" spans="1:14" s="39" customFormat="1" ht="17">
      <c r="A132" s="167"/>
      <c r="B132" s="97" t="s">
        <v>112</v>
      </c>
      <c r="C132" s="28"/>
      <c r="D132" s="121"/>
      <c r="E132" s="135"/>
      <c r="F132" s="293">
        <f>SUM(F131:F131)</f>
        <v>918.74999999999989</v>
      </c>
      <c r="K132" s="73"/>
      <c r="L132" s="73"/>
      <c r="M132" s="73"/>
      <c r="N132" s="40"/>
    </row>
    <row r="133" spans="1:14" ht="18" customHeight="1">
      <c r="A133" s="167"/>
      <c r="B133" s="97"/>
      <c r="C133" s="28"/>
      <c r="D133" s="121"/>
      <c r="E133" s="135"/>
      <c r="F133" s="293"/>
    </row>
    <row r="134" spans="1:14" ht="18" customHeight="1">
      <c r="A134" s="171"/>
      <c r="B134" s="102" t="s">
        <v>26</v>
      </c>
      <c r="C134" s="56" t="s">
        <v>21</v>
      </c>
      <c r="D134" s="137">
        <f>D131</f>
        <v>6.1249999999999992E-2</v>
      </c>
      <c r="E134" s="136">
        <v>6088.08</v>
      </c>
      <c r="F134" s="295">
        <f>D134*E134</f>
        <v>372.89489999999995</v>
      </c>
    </row>
    <row r="135" spans="1:14" ht="18" customHeight="1">
      <c r="A135" s="172"/>
      <c r="B135" s="101" t="s">
        <v>113</v>
      </c>
      <c r="C135" s="57"/>
      <c r="D135" s="124"/>
      <c r="E135" s="262"/>
      <c r="F135" s="296">
        <f>SUM(F131:F134)</f>
        <v>2210.3948999999998</v>
      </c>
    </row>
    <row r="136" spans="1:14" ht="18" customHeight="1">
      <c r="A136" s="152">
        <v>6.02</v>
      </c>
      <c r="B136" s="99" t="s">
        <v>103</v>
      </c>
      <c r="C136" s="69" t="s">
        <v>10</v>
      </c>
      <c r="D136" s="125">
        <f>(1*0.25*0.25)*5</f>
        <v>0.3125</v>
      </c>
      <c r="E136" s="138">
        <f>F136/D136</f>
        <v>111668.87727999999</v>
      </c>
      <c r="F136" s="294">
        <f>F139+F146+F143</f>
        <v>34896.524149999997</v>
      </c>
    </row>
    <row r="137" spans="1:14" s="26" customFormat="1">
      <c r="A137" s="171"/>
      <c r="B137" s="101" t="s">
        <v>2</v>
      </c>
      <c r="C137" s="56"/>
      <c r="D137" s="137"/>
      <c r="E137" s="136"/>
      <c r="F137" s="295"/>
      <c r="K137" s="71"/>
      <c r="L137" s="71"/>
      <c r="M137" s="71"/>
      <c r="N137" s="27"/>
    </row>
    <row r="138" spans="1:14" s="39" customFormat="1">
      <c r="A138" s="171"/>
      <c r="B138" s="102" t="s">
        <v>99</v>
      </c>
      <c r="C138" s="56" t="s">
        <v>28</v>
      </c>
      <c r="D138" s="137">
        <f>D136*1.1</f>
        <v>0.34375</v>
      </c>
      <c r="E138" s="136">
        <v>100000</v>
      </c>
      <c r="F138" s="295">
        <f>D138*E138</f>
        <v>34375</v>
      </c>
      <c r="K138" s="73"/>
      <c r="L138" s="73"/>
      <c r="M138" s="73"/>
      <c r="N138" s="40"/>
    </row>
    <row r="139" spans="1:14" s="42" customFormat="1" ht="17">
      <c r="A139" s="172"/>
      <c r="B139" s="101" t="s">
        <v>100</v>
      </c>
      <c r="C139" s="57"/>
      <c r="D139" s="124"/>
      <c r="E139" s="262"/>
      <c r="F139" s="296">
        <f>F138</f>
        <v>34375</v>
      </c>
      <c r="K139" s="319"/>
      <c r="L139" s="319"/>
      <c r="M139" s="319"/>
      <c r="N139" s="43"/>
    </row>
    <row r="140" spans="1:14" s="31" customFormat="1" ht="17">
      <c r="A140" s="172"/>
      <c r="B140" s="101"/>
      <c r="C140" s="57"/>
      <c r="D140" s="124"/>
      <c r="E140" s="262"/>
      <c r="F140" s="296"/>
      <c r="K140" s="72"/>
      <c r="L140" s="72"/>
      <c r="M140" s="72"/>
      <c r="N140" s="32"/>
    </row>
    <row r="141" spans="1:14" s="31" customFormat="1">
      <c r="A141" s="166"/>
      <c r="B141" s="97" t="s">
        <v>19</v>
      </c>
      <c r="C141" s="23"/>
      <c r="D141" s="118"/>
      <c r="E141" s="133"/>
      <c r="F141" s="292"/>
      <c r="K141" s="72"/>
      <c r="L141" s="72"/>
      <c r="M141" s="72"/>
      <c r="N141" s="32"/>
    </row>
    <row r="142" spans="1:14" s="76" customFormat="1">
      <c r="A142" s="166"/>
      <c r="B142" s="98" t="s">
        <v>22</v>
      </c>
      <c r="C142" s="23" t="s">
        <v>21</v>
      </c>
      <c r="D142" s="118">
        <f>D134/6</f>
        <v>1.0208333333333331E-2</v>
      </c>
      <c r="E142" s="133">
        <v>15000</v>
      </c>
      <c r="F142" s="292">
        <f>D142*E142</f>
        <v>153.12499999999997</v>
      </c>
      <c r="K142" s="77"/>
      <c r="L142" s="77"/>
      <c r="M142" s="77"/>
      <c r="N142" s="78"/>
    </row>
    <row r="143" spans="1:14" s="76" customFormat="1" ht="17">
      <c r="A143" s="167"/>
      <c r="B143" s="97" t="s">
        <v>112</v>
      </c>
      <c r="C143" s="28"/>
      <c r="D143" s="121"/>
      <c r="E143" s="135"/>
      <c r="F143" s="293">
        <f>SUM(F142:F142)</f>
        <v>153.12499999999997</v>
      </c>
      <c r="K143" s="77"/>
      <c r="L143" s="77"/>
      <c r="M143" s="77"/>
      <c r="N143" s="78"/>
    </row>
    <row r="144" spans="1:14" ht="18" customHeight="1">
      <c r="A144" s="167"/>
      <c r="B144" s="97"/>
      <c r="C144" s="28"/>
      <c r="D144" s="121"/>
      <c r="E144" s="135"/>
      <c r="F144" s="293"/>
    </row>
    <row r="145" spans="1:14" ht="18" customHeight="1">
      <c r="A145" s="171"/>
      <c r="B145" s="102" t="s">
        <v>26</v>
      </c>
      <c r="C145" s="56" t="s">
        <v>21</v>
      </c>
      <c r="D145" s="137">
        <f>D142</f>
        <v>1.0208333333333331E-2</v>
      </c>
      <c r="E145" s="136">
        <v>6088.08</v>
      </c>
      <c r="F145" s="295">
        <f>D145*E145</f>
        <v>62.149149999999985</v>
      </c>
    </row>
    <row r="146" spans="1:14" ht="18" customHeight="1">
      <c r="A146" s="172"/>
      <c r="B146" s="101" t="s">
        <v>113</v>
      </c>
      <c r="C146" s="57"/>
      <c r="D146" s="124"/>
      <c r="E146" s="262"/>
      <c r="F146" s="296">
        <f>SUM(F142:F145)</f>
        <v>368.39914999999991</v>
      </c>
    </row>
    <row r="147" spans="1:14" ht="18" customHeight="1">
      <c r="A147" s="152">
        <v>6.03</v>
      </c>
      <c r="B147" s="99" t="s">
        <v>104</v>
      </c>
      <c r="C147" s="69" t="s">
        <v>10</v>
      </c>
      <c r="D147" s="125">
        <f>(3*0.25*0.25)*5</f>
        <v>0.9375</v>
      </c>
      <c r="E147" s="138">
        <f>F147/D147</f>
        <v>118514.68</v>
      </c>
      <c r="F147" s="294">
        <f>F150+F157+F154</f>
        <v>111107.5125</v>
      </c>
    </row>
    <row r="148" spans="1:14" s="31" customFormat="1">
      <c r="A148" s="171"/>
      <c r="B148" s="101" t="s">
        <v>2</v>
      </c>
      <c r="C148" s="56"/>
      <c r="D148" s="137"/>
      <c r="E148" s="136"/>
      <c r="F148" s="295"/>
      <c r="K148" s="72"/>
      <c r="L148" s="72"/>
      <c r="M148" s="72"/>
      <c r="N148" s="32"/>
    </row>
    <row r="149" spans="1:14" s="76" customFormat="1">
      <c r="A149" s="171"/>
      <c r="B149" s="102" t="s">
        <v>99</v>
      </c>
      <c r="C149" s="56" t="s">
        <v>28</v>
      </c>
      <c r="D149" s="137">
        <f>D147*1.1</f>
        <v>1.03125</v>
      </c>
      <c r="E149" s="136">
        <v>100000</v>
      </c>
      <c r="F149" s="295">
        <f>D149*E149</f>
        <v>103125</v>
      </c>
      <c r="K149" s="77"/>
      <c r="L149" s="77"/>
      <c r="M149" s="77"/>
      <c r="N149" s="78"/>
    </row>
    <row r="150" spans="1:14" s="42" customFormat="1" ht="17">
      <c r="A150" s="172"/>
      <c r="B150" s="101" t="s">
        <v>100</v>
      </c>
      <c r="C150" s="57"/>
      <c r="D150" s="124"/>
      <c r="E150" s="262"/>
      <c r="F150" s="296">
        <f>F149</f>
        <v>103125</v>
      </c>
      <c r="K150" s="319"/>
      <c r="L150" s="319"/>
      <c r="M150" s="319"/>
      <c r="N150" s="43"/>
    </row>
    <row r="151" spans="1:14" s="31" customFormat="1" ht="17">
      <c r="A151" s="172"/>
      <c r="B151" s="101"/>
      <c r="C151" s="57"/>
      <c r="D151" s="124"/>
      <c r="E151" s="262"/>
      <c r="F151" s="296"/>
      <c r="K151" s="72"/>
      <c r="L151" s="72"/>
      <c r="M151" s="72"/>
      <c r="N151" s="32"/>
    </row>
    <row r="152" spans="1:14" s="31" customFormat="1">
      <c r="A152" s="166"/>
      <c r="B152" s="97" t="s">
        <v>19</v>
      </c>
      <c r="C152" s="23"/>
      <c r="D152" s="118"/>
      <c r="E152" s="133"/>
      <c r="F152" s="292"/>
      <c r="K152" s="72"/>
      <c r="L152" s="72"/>
      <c r="M152" s="72"/>
      <c r="N152" s="32"/>
    </row>
    <row r="153" spans="1:14" s="76" customFormat="1">
      <c r="A153" s="166"/>
      <c r="B153" s="98" t="s">
        <v>22</v>
      </c>
      <c r="C153" s="23" t="s">
        <v>21</v>
      </c>
      <c r="D153" s="118">
        <f>D147/6</f>
        <v>0.15625</v>
      </c>
      <c r="E153" s="133">
        <v>15000</v>
      </c>
      <c r="F153" s="292">
        <f>D153*E153</f>
        <v>2343.75</v>
      </c>
      <c r="K153" s="77"/>
      <c r="L153" s="77"/>
      <c r="M153" s="77"/>
      <c r="N153" s="78"/>
    </row>
    <row r="154" spans="1:14" s="76" customFormat="1" ht="17">
      <c r="A154" s="167"/>
      <c r="B154" s="97" t="s">
        <v>112</v>
      </c>
      <c r="C154" s="28"/>
      <c r="D154" s="121"/>
      <c r="E154" s="135"/>
      <c r="F154" s="293">
        <f>SUM(F153:F153)</f>
        <v>2343.75</v>
      </c>
      <c r="K154" s="77"/>
      <c r="L154" s="77"/>
      <c r="M154" s="77"/>
      <c r="N154" s="78"/>
    </row>
    <row r="155" spans="1:14" ht="18" customHeight="1">
      <c r="A155" s="167"/>
      <c r="B155" s="97"/>
      <c r="C155" s="28"/>
      <c r="D155" s="121"/>
      <c r="E155" s="135"/>
      <c r="F155" s="293"/>
    </row>
    <row r="156" spans="1:14" ht="18" customHeight="1">
      <c r="A156" s="171"/>
      <c r="B156" s="102" t="s">
        <v>26</v>
      </c>
      <c r="C156" s="56" t="s">
        <v>21</v>
      </c>
      <c r="D156" s="137">
        <f>D153</f>
        <v>0.15625</v>
      </c>
      <c r="E156" s="136">
        <v>6088.08</v>
      </c>
      <c r="F156" s="295">
        <f>D156*E156</f>
        <v>951.26250000000005</v>
      </c>
    </row>
    <row r="157" spans="1:14" ht="18" customHeight="1">
      <c r="A157" s="172"/>
      <c r="B157" s="101" t="s">
        <v>113</v>
      </c>
      <c r="C157" s="57"/>
      <c r="D157" s="124"/>
      <c r="E157" s="262"/>
      <c r="F157" s="296">
        <f>SUM(F153:F156)</f>
        <v>5638.7624999999998</v>
      </c>
    </row>
    <row r="158" spans="1:14" ht="18" customHeight="1">
      <c r="A158" s="172"/>
      <c r="B158" s="101"/>
      <c r="C158" s="57"/>
      <c r="D158" s="124"/>
      <c r="E158" s="262"/>
      <c r="F158" s="296"/>
    </row>
    <row r="159" spans="1:14" s="31" customFormat="1" ht="19.5">
      <c r="A159" s="170">
        <v>7</v>
      </c>
      <c r="B159" s="482" t="s">
        <v>73</v>
      </c>
      <c r="C159" s="482"/>
      <c r="D159" s="482"/>
      <c r="E159" s="482"/>
      <c r="F159" s="483"/>
      <c r="K159" s="72"/>
      <c r="L159" s="72"/>
      <c r="M159" s="72"/>
      <c r="N159" s="32"/>
    </row>
    <row r="160" spans="1:14" s="59" customFormat="1" ht="18.649999999999999" customHeight="1">
      <c r="A160" s="159">
        <v>7.01</v>
      </c>
      <c r="B160" s="16" t="s">
        <v>71</v>
      </c>
      <c r="C160" s="3" t="s">
        <v>28</v>
      </c>
      <c r="D160" s="117">
        <f>0.4*0.8*20.5</f>
        <v>6.5600000000000014</v>
      </c>
      <c r="E160" s="134">
        <f>SUM(F160)/D160</f>
        <v>66244.523921568631</v>
      </c>
      <c r="F160" s="160">
        <f>F165+F170</f>
        <v>434564.07692549034</v>
      </c>
    </row>
    <row r="161" spans="1:6" s="59" customFormat="1" ht="18.649999999999999" customHeight="1">
      <c r="A161" s="157"/>
      <c r="B161" s="8" t="s">
        <v>29</v>
      </c>
      <c r="C161" s="9"/>
      <c r="D161" s="118"/>
      <c r="E161" s="133"/>
      <c r="F161" s="155"/>
    </row>
    <row r="162" spans="1:6" s="90" customFormat="1" ht="18" customHeight="1">
      <c r="A162" s="157"/>
      <c r="B162" s="13" t="s">
        <v>30</v>
      </c>
      <c r="C162" s="9" t="s">
        <v>28</v>
      </c>
      <c r="D162" s="118">
        <f>D160*(10/17)*1.57</f>
        <v>6.0583529411764721</v>
      </c>
      <c r="E162" s="133">
        <v>12000</v>
      </c>
      <c r="F162" s="155">
        <f>+D162*E162</f>
        <v>72700.235294117665</v>
      </c>
    </row>
    <row r="163" spans="1:6" ht="18" customHeight="1">
      <c r="A163" s="157"/>
      <c r="B163" s="13" t="s">
        <v>11</v>
      </c>
      <c r="C163" s="9" t="s">
        <v>31</v>
      </c>
      <c r="D163" s="118">
        <f>D160*(1/17)*1.57*(1440/50)</f>
        <v>17.448056470588241</v>
      </c>
      <c r="E163" s="133">
        <v>12000</v>
      </c>
      <c r="F163" s="155">
        <f>E163*D163</f>
        <v>209376.67764705891</v>
      </c>
    </row>
    <row r="164" spans="1:6" ht="18" customHeight="1">
      <c r="A164" s="157"/>
      <c r="B164" s="13" t="s">
        <v>32</v>
      </c>
      <c r="C164" s="9" t="s">
        <v>28</v>
      </c>
      <c r="D164" s="118">
        <f>D160*(6/17)*1.57</f>
        <v>3.6350117647058835</v>
      </c>
      <c r="E164" s="133">
        <v>25000</v>
      </c>
      <c r="F164" s="155">
        <f>E164*D164</f>
        <v>90875.294117647092</v>
      </c>
    </row>
    <row r="165" spans="1:6" ht="18" customHeight="1">
      <c r="A165" s="157"/>
      <c r="B165" s="8" t="s">
        <v>5</v>
      </c>
      <c r="C165" s="9"/>
      <c r="D165" s="118"/>
      <c r="E165" s="133"/>
      <c r="F165" s="162">
        <f>F162+F163+F164</f>
        <v>372952.20705882367</v>
      </c>
    </row>
    <row r="166" spans="1:6" ht="18" customHeight="1">
      <c r="A166" s="157"/>
      <c r="B166" s="13"/>
      <c r="C166" s="9"/>
      <c r="D166" s="118"/>
      <c r="E166" s="133"/>
      <c r="F166" s="155"/>
    </row>
    <row r="167" spans="1:6" ht="18" customHeight="1">
      <c r="A167" s="154"/>
      <c r="B167" s="8" t="s">
        <v>33</v>
      </c>
      <c r="C167" s="9"/>
      <c r="D167" s="118"/>
      <c r="E167" s="133"/>
      <c r="F167" s="155"/>
    </row>
    <row r="168" spans="1:6" ht="18" customHeight="1">
      <c r="A168" s="154"/>
      <c r="B168" s="13" t="s">
        <v>34</v>
      </c>
      <c r="C168" s="9" t="s">
        <v>21</v>
      </c>
      <c r="D168" s="118">
        <f>D160/1.5</f>
        <v>4.373333333333334</v>
      </c>
      <c r="E168" s="133">
        <v>6088.08</v>
      </c>
      <c r="F168" s="155">
        <f>+D168*E168</f>
        <v>26625.203200000004</v>
      </c>
    </row>
    <row r="169" spans="1:6" ht="18" customHeight="1">
      <c r="A169" s="154"/>
      <c r="B169" s="13" t="s">
        <v>7</v>
      </c>
      <c r="C169" s="9" t="s">
        <v>21</v>
      </c>
      <c r="D169" s="118">
        <f>+D168*2</f>
        <v>8.7466666666666679</v>
      </c>
      <c r="E169" s="133">
        <v>4000</v>
      </c>
      <c r="F169" s="155">
        <f>+D169*E169</f>
        <v>34986.666666666672</v>
      </c>
    </row>
    <row r="170" spans="1:6" ht="18" customHeight="1">
      <c r="A170" s="167"/>
      <c r="B170" s="97" t="s">
        <v>9</v>
      </c>
      <c r="C170" s="28"/>
      <c r="D170" s="121"/>
      <c r="E170" s="135"/>
      <c r="F170" s="293">
        <f>SUM(F168:F169)</f>
        <v>61611.869866666675</v>
      </c>
    </row>
    <row r="171" spans="1:6" ht="18" customHeight="1">
      <c r="A171" s="167"/>
      <c r="B171" s="97"/>
      <c r="C171" s="28"/>
      <c r="D171" s="121"/>
      <c r="E171" s="135"/>
      <c r="F171" s="293"/>
    </row>
    <row r="172" spans="1:6" ht="18" customHeight="1">
      <c r="A172" s="152">
        <v>8.01</v>
      </c>
      <c r="B172" s="16" t="s">
        <v>35</v>
      </c>
      <c r="C172" s="35" t="s">
        <v>36</v>
      </c>
      <c r="D172" s="125">
        <f>20.5*0.25</f>
        <v>5.125</v>
      </c>
      <c r="E172" s="138">
        <f>SUM(F172)/D172</f>
        <v>1835.7952542372882</v>
      </c>
      <c r="F172" s="153">
        <f>F175+F180</f>
        <v>9408.4506779661024</v>
      </c>
    </row>
    <row r="173" spans="1:6" ht="18" customHeight="1">
      <c r="A173" s="157"/>
      <c r="B173" s="8" t="s">
        <v>29</v>
      </c>
      <c r="C173" s="9"/>
      <c r="D173" s="118"/>
      <c r="E173" s="133"/>
      <c r="F173" s="155"/>
    </row>
    <row r="174" spans="1:6" ht="18" customHeight="1">
      <c r="A174" s="154"/>
      <c r="B174" s="13" t="s">
        <v>37</v>
      </c>
      <c r="C174" s="9" t="s">
        <v>38</v>
      </c>
      <c r="D174" s="118">
        <f>D172</f>
        <v>5.125</v>
      </c>
      <c r="E174" s="133">
        <f>2000/1.18</f>
        <v>1694.9152542372883</v>
      </c>
      <c r="F174" s="155">
        <f>+D174*E174</f>
        <v>8686.4406779661022</v>
      </c>
    </row>
    <row r="175" spans="1:6" ht="18" customHeight="1">
      <c r="A175" s="161"/>
      <c r="B175" s="8" t="s">
        <v>5</v>
      </c>
      <c r="C175" s="12"/>
      <c r="D175" s="121"/>
      <c r="E175" s="135"/>
      <c r="F175" s="162">
        <f>F174</f>
        <v>8686.4406779661022</v>
      </c>
    </row>
    <row r="176" spans="1:6" ht="18" customHeight="1">
      <c r="A176" s="154"/>
      <c r="B176" s="13"/>
      <c r="C176" s="9"/>
      <c r="D176" s="118"/>
      <c r="E176" s="133"/>
      <c r="F176" s="155"/>
    </row>
    <row r="177" spans="1:6" ht="18" customHeight="1">
      <c r="A177" s="173"/>
      <c r="B177" s="8" t="s">
        <v>33</v>
      </c>
      <c r="C177" s="9"/>
      <c r="D177" s="118"/>
      <c r="E177" s="133"/>
      <c r="F177" s="155"/>
    </row>
    <row r="178" spans="1:6" ht="18" customHeight="1">
      <c r="A178" s="154"/>
      <c r="B178" s="13" t="s">
        <v>34</v>
      </c>
      <c r="C178" s="9" t="s">
        <v>21</v>
      </c>
      <c r="D178" s="118">
        <f>D172/100</f>
        <v>5.1249999999999997E-2</v>
      </c>
      <c r="E178" s="133">
        <v>6088</v>
      </c>
      <c r="F178" s="155">
        <f>+D178*E178</f>
        <v>312.01</v>
      </c>
    </row>
    <row r="179" spans="1:6" ht="18" customHeight="1">
      <c r="A179" s="154"/>
      <c r="B179" s="13" t="s">
        <v>7</v>
      </c>
      <c r="C179" s="9" t="s">
        <v>21</v>
      </c>
      <c r="D179" s="118">
        <f>+D178*2</f>
        <v>0.10249999999999999</v>
      </c>
      <c r="E179" s="133">
        <v>4000</v>
      </c>
      <c r="F179" s="155">
        <f>+D179*E179</f>
        <v>410</v>
      </c>
    </row>
    <row r="180" spans="1:6" ht="18" customHeight="1">
      <c r="A180" s="161"/>
      <c r="B180" s="8" t="s">
        <v>39</v>
      </c>
      <c r="C180" s="12"/>
      <c r="D180" s="121"/>
      <c r="E180" s="135"/>
      <c r="F180" s="162">
        <f>SUM(F178:F179)</f>
        <v>722.01</v>
      </c>
    </row>
    <row r="181" spans="1:6" ht="18" customHeight="1">
      <c r="A181" s="161"/>
      <c r="B181" s="8"/>
      <c r="C181" s="12"/>
      <c r="D181" s="121"/>
      <c r="E181" s="135"/>
      <c r="F181" s="162"/>
    </row>
    <row r="182" spans="1:6" ht="18" customHeight="1">
      <c r="A182" s="168">
        <v>9</v>
      </c>
      <c r="B182" s="484" t="s">
        <v>72</v>
      </c>
      <c r="C182" s="484"/>
      <c r="D182" s="484"/>
      <c r="E182" s="484"/>
      <c r="F182" s="485"/>
    </row>
    <row r="183" spans="1:6" ht="18" customHeight="1">
      <c r="A183" s="152">
        <v>9.01</v>
      </c>
      <c r="B183" s="16" t="s">
        <v>40</v>
      </c>
      <c r="C183" s="3" t="s">
        <v>1</v>
      </c>
      <c r="D183" s="117">
        <f>(20.5*3)-(3.78+3)</f>
        <v>54.72</v>
      </c>
      <c r="E183" s="134">
        <f>SUM(F183)/D183</f>
        <v>15002.706022253746</v>
      </c>
      <c r="F183" s="160">
        <f>F189+F194</f>
        <v>820948.07353772491</v>
      </c>
    </row>
    <row r="184" spans="1:6" ht="18" customHeight="1">
      <c r="A184" s="164"/>
      <c r="B184" s="103"/>
      <c r="C184" s="20" t="s">
        <v>28</v>
      </c>
      <c r="D184" s="137">
        <f>D183*0.2</f>
        <v>10.944000000000001</v>
      </c>
      <c r="E184" s="136"/>
      <c r="F184" s="165"/>
    </row>
    <row r="185" spans="1:6" s="90" customFormat="1" ht="18" customHeight="1">
      <c r="A185" s="154"/>
      <c r="B185" s="8" t="s">
        <v>2</v>
      </c>
      <c r="C185" s="9"/>
      <c r="D185" s="118"/>
      <c r="E185" s="133"/>
      <c r="F185" s="155"/>
    </row>
    <row r="186" spans="1:6" ht="18" customHeight="1">
      <c r="A186" s="154"/>
      <c r="B186" s="48" t="s">
        <v>41</v>
      </c>
      <c r="C186" s="9" t="s">
        <v>31</v>
      </c>
      <c r="D186" s="118">
        <f>D184*0.2439*(1/7)*1.54*(1440/50)</f>
        <v>16.912314777600002</v>
      </c>
      <c r="E186" s="133">
        <v>12000</v>
      </c>
      <c r="F186" s="155">
        <f>D186*E186</f>
        <v>202947.77733120002</v>
      </c>
    </row>
    <row r="187" spans="1:6" ht="18" customHeight="1">
      <c r="A187" s="154"/>
      <c r="B187" s="48" t="s">
        <v>42</v>
      </c>
      <c r="C187" s="9" t="s">
        <v>28</v>
      </c>
      <c r="D187" s="118">
        <f>D184*0.2439*(6/7)*1.54</f>
        <v>3.5233989120000007</v>
      </c>
      <c r="E187" s="133">
        <v>25000</v>
      </c>
      <c r="F187" s="155">
        <f>D187*E187</f>
        <v>88084.972800000018</v>
      </c>
    </row>
    <row r="188" spans="1:6" ht="18" customHeight="1">
      <c r="A188" s="154"/>
      <c r="B188" s="48" t="s">
        <v>43</v>
      </c>
      <c r="C188" s="9" t="s">
        <v>44</v>
      </c>
      <c r="D188" s="118">
        <f>D184*1.15/(0.235*0.1125*0.075)</f>
        <v>6347.3475177304972</v>
      </c>
      <c r="E188" s="133">
        <v>50</v>
      </c>
      <c r="F188" s="155">
        <f>D188*E188</f>
        <v>317367.37588652485</v>
      </c>
    </row>
    <row r="189" spans="1:6" ht="18" customHeight="1">
      <c r="A189" s="161"/>
      <c r="B189" s="60" t="s">
        <v>5</v>
      </c>
      <c r="C189" s="12"/>
      <c r="D189" s="121"/>
      <c r="E189" s="135"/>
      <c r="F189" s="162">
        <f>SUM(F186:F188)</f>
        <v>608400.12601772486</v>
      </c>
    </row>
    <row r="190" spans="1:6" ht="18" customHeight="1">
      <c r="A190" s="154"/>
      <c r="B190" s="48"/>
      <c r="C190" s="9"/>
      <c r="D190" s="118"/>
      <c r="E190" s="133"/>
      <c r="F190" s="155"/>
    </row>
    <row r="191" spans="1:6" ht="18" customHeight="1">
      <c r="A191" s="154"/>
      <c r="B191" s="8" t="s">
        <v>6</v>
      </c>
      <c r="C191" s="9"/>
      <c r="D191" s="118"/>
      <c r="E191" s="133"/>
      <c r="F191" s="155"/>
    </row>
    <row r="192" spans="1:6" ht="18" customHeight="1">
      <c r="A192" s="154"/>
      <c r="B192" s="13" t="s">
        <v>34</v>
      </c>
      <c r="C192" s="9" t="s">
        <v>8</v>
      </c>
      <c r="D192" s="118">
        <f>D184/1</f>
        <v>10.944000000000001</v>
      </c>
      <c r="E192" s="133">
        <v>6088.08</v>
      </c>
      <c r="F192" s="155">
        <f>D192*E192</f>
        <v>66627.947520000002</v>
      </c>
    </row>
    <row r="193" spans="1:6" ht="18" customHeight="1">
      <c r="A193" s="154"/>
      <c r="B193" s="13" t="s">
        <v>7</v>
      </c>
      <c r="C193" s="9" t="s">
        <v>8</v>
      </c>
      <c r="D193" s="118">
        <f>(D184/1.2)*4</f>
        <v>36.480000000000004</v>
      </c>
      <c r="E193" s="133">
        <v>4000</v>
      </c>
      <c r="F193" s="155">
        <f>D193*E193</f>
        <v>145920.00000000003</v>
      </c>
    </row>
    <row r="194" spans="1:6" ht="18" customHeight="1">
      <c r="A194" s="156"/>
      <c r="B194" s="60" t="s">
        <v>9</v>
      </c>
      <c r="C194" s="61"/>
      <c r="D194" s="120"/>
      <c r="E194" s="279"/>
      <c r="F194" s="290">
        <f>SUM(F192:F193)</f>
        <v>212547.94752000005</v>
      </c>
    </row>
    <row r="195" spans="1:6" ht="18" customHeight="1">
      <c r="A195" s="156"/>
      <c r="B195" s="60"/>
      <c r="C195" s="61"/>
      <c r="D195" s="120"/>
      <c r="E195" s="279"/>
      <c r="F195" s="290"/>
    </row>
    <row r="196" spans="1:6" ht="18" customHeight="1">
      <c r="A196" s="174">
        <v>10</v>
      </c>
      <c r="B196" s="480" t="s">
        <v>79</v>
      </c>
      <c r="C196" s="480"/>
      <c r="D196" s="480"/>
      <c r="E196" s="480"/>
      <c r="F196" s="481"/>
    </row>
    <row r="197" spans="1:6" ht="18" customHeight="1">
      <c r="A197" s="152" t="s">
        <v>116</v>
      </c>
      <c r="B197" s="2" t="s">
        <v>74</v>
      </c>
      <c r="C197" s="15" t="s">
        <v>45</v>
      </c>
      <c r="D197" s="175">
        <f>9.4*0.25*0.2</f>
        <v>0.47000000000000003</v>
      </c>
      <c r="E197" s="281"/>
      <c r="F197" s="160">
        <f>F204+F209+F214</f>
        <v>64223.287015098722</v>
      </c>
    </row>
    <row r="198" spans="1:6" ht="18" customHeight="1">
      <c r="A198" s="173"/>
      <c r="B198" s="177" t="s">
        <v>29</v>
      </c>
      <c r="C198" s="178"/>
      <c r="D198" s="137"/>
      <c r="E198" s="180"/>
      <c r="F198" s="181"/>
    </row>
    <row r="199" spans="1:6" s="90" customFormat="1" ht="18" customHeight="1">
      <c r="A199" s="173"/>
      <c r="B199" s="182" t="s">
        <v>14</v>
      </c>
      <c r="C199" s="18" t="s">
        <v>45</v>
      </c>
      <c r="D199" s="137">
        <f>D197*(4/7)*1.57</f>
        <v>0.4216571428571429</v>
      </c>
      <c r="E199" s="180">
        <v>32000</v>
      </c>
      <c r="F199" s="181">
        <f>D199*E199</f>
        <v>13493.028571428573</v>
      </c>
    </row>
    <row r="200" spans="1:6" ht="18" customHeight="1">
      <c r="A200" s="173"/>
      <c r="B200" s="182" t="s">
        <v>13</v>
      </c>
      <c r="C200" s="18" t="s">
        <v>45</v>
      </c>
      <c r="D200" s="137">
        <f>D197*(2/7)*1.54</f>
        <v>0.20680000000000001</v>
      </c>
      <c r="E200" s="180">
        <v>25000</v>
      </c>
      <c r="F200" s="181">
        <f>D200*E200</f>
        <v>5170</v>
      </c>
    </row>
    <row r="201" spans="1:6" ht="18" customHeight="1">
      <c r="A201" s="173"/>
      <c r="B201" s="182" t="s">
        <v>11</v>
      </c>
      <c r="C201" s="178" t="s">
        <v>12</v>
      </c>
      <c r="D201" s="137">
        <f>D197*(1/7)*1.57*(1440/50)</f>
        <v>3.0359314285714287</v>
      </c>
      <c r="E201" s="180">
        <v>12000</v>
      </c>
      <c r="F201" s="181">
        <f>D201*E201</f>
        <v>36431.177142857145</v>
      </c>
    </row>
    <row r="202" spans="1:6" ht="18" customHeight="1">
      <c r="A202" s="171"/>
      <c r="B202" s="102" t="s">
        <v>15</v>
      </c>
      <c r="C202" s="56" t="s">
        <v>16</v>
      </c>
      <c r="D202" s="137">
        <f>D207*10</f>
        <v>0.78333333333333344</v>
      </c>
      <c r="E202" s="136">
        <v>1587</v>
      </c>
      <c r="F202" s="295">
        <f>D202*E202</f>
        <v>1243.1500000000001</v>
      </c>
    </row>
    <row r="203" spans="1:6" ht="18" customHeight="1">
      <c r="A203" s="171"/>
      <c r="B203" s="102" t="s">
        <v>17</v>
      </c>
      <c r="C203" s="56" t="s">
        <v>16</v>
      </c>
      <c r="D203" s="137">
        <f>D208*5</f>
        <v>0.39166666666666672</v>
      </c>
      <c r="E203" s="136">
        <v>1587</v>
      </c>
      <c r="F203" s="295">
        <f>D203*E203</f>
        <v>621.57500000000005</v>
      </c>
    </row>
    <row r="204" spans="1:6" ht="18" customHeight="1">
      <c r="A204" s="173"/>
      <c r="B204" s="177" t="s">
        <v>5</v>
      </c>
      <c r="C204" s="178"/>
      <c r="D204" s="137"/>
      <c r="E204" s="180"/>
      <c r="F204" s="297">
        <f>F199+F200+F201</f>
        <v>55094.205714285716</v>
      </c>
    </row>
    <row r="205" spans="1:6" ht="18" customHeight="1">
      <c r="A205" s="173"/>
      <c r="B205" s="182"/>
      <c r="C205" s="178"/>
      <c r="D205" s="137"/>
      <c r="E205" s="180"/>
      <c r="F205" s="181"/>
    </row>
    <row r="206" spans="1:6" ht="18" customHeight="1">
      <c r="A206" s="171"/>
      <c r="B206" s="101" t="s">
        <v>19</v>
      </c>
      <c r="C206" s="56"/>
      <c r="D206" s="137"/>
      <c r="E206" s="136"/>
      <c r="F206" s="295"/>
    </row>
    <row r="207" spans="1:6" ht="18" customHeight="1">
      <c r="A207" s="171"/>
      <c r="B207" s="102" t="s">
        <v>20</v>
      </c>
      <c r="C207" s="56" t="s">
        <v>21</v>
      </c>
      <c r="D207" s="137">
        <f>D197/6</f>
        <v>7.8333333333333338E-2</v>
      </c>
      <c r="E207" s="136">
        <v>50000</v>
      </c>
      <c r="F207" s="295">
        <f>D207*E207</f>
        <v>3916.666666666667</v>
      </c>
    </row>
    <row r="208" spans="1:6" ht="18" customHeight="1">
      <c r="A208" s="171"/>
      <c r="B208" s="102" t="s">
        <v>22</v>
      </c>
      <c r="C208" s="56" t="s">
        <v>21</v>
      </c>
      <c r="D208" s="137">
        <f>D197/6</f>
        <v>7.8333333333333338E-2</v>
      </c>
      <c r="E208" s="136">
        <v>15000</v>
      </c>
      <c r="F208" s="295">
        <f>D208*E208</f>
        <v>1175</v>
      </c>
    </row>
    <row r="209" spans="1:6" ht="18" customHeight="1">
      <c r="A209" s="172"/>
      <c r="B209" s="101" t="s">
        <v>23</v>
      </c>
      <c r="C209" s="57"/>
      <c r="D209" s="124"/>
      <c r="E209" s="262"/>
      <c r="F209" s="296">
        <f>SUM(F207:F208)</f>
        <v>5091.666666666667</v>
      </c>
    </row>
    <row r="210" spans="1:6" ht="18" customHeight="1">
      <c r="A210" s="172"/>
      <c r="B210" s="101"/>
      <c r="C210" s="57"/>
      <c r="D210" s="124"/>
      <c r="E210" s="262"/>
      <c r="F210" s="296"/>
    </row>
    <row r="211" spans="1:6" ht="18" customHeight="1">
      <c r="A211" s="183"/>
      <c r="B211" s="177" t="s">
        <v>33</v>
      </c>
      <c r="C211" s="178"/>
      <c r="D211" s="137"/>
      <c r="E211" s="180"/>
      <c r="F211" s="181"/>
    </row>
    <row r="212" spans="1:6" ht="18.649999999999999" customHeight="1">
      <c r="A212" s="183"/>
      <c r="B212" s="182" t="s">
        <v>34</v>
      </c>
      <c r="C212" s="178" t="s">
        <v>21</v>
      </c>
      <c r="D212" s="137">
        <f>D197/1.64</f>
        <v>0.28658536585365857</v>
      </c>
      <c r="E212" s="180">
        <v>6088</v>
      </c>
      <c r="F212" s="181">
        <f>+D212*E212</f>
        <v>1744.7317073170734</v>
      </c>
    </row>
    <row r="213" spans="1:6" ht="18.649999999999999" customHeight="1">
      <c r="A213" s="183"/>
      <c r="B213" s="182" t="s">
        <v>7</v>
      </c>
      <c r="C213" s="178" t="s">
        <v>21</v>
      </c>
      <c r="D213" s="137">
        <f>+D212*2</f>
        <v>0.57317073170731714</v>
      </c>
      <c r="E213" s="180">
        <v>4000</v>
      </c>
      <c r="F213" s="181">
        <f>+D213*E213</f>
        <v>2292.6829268292686</v>
      </c>
    </row>
    <row r="214" spans="1:6" ht="18.649999999999999" customHeight="1">
      <c r="A214" s="184"/>
      <c r="B214" s="177" t="s">
        <v>119</v>
      </c>
      <c r="C214" s="185"/>
      <c r="D214" s="124"/>
      <c r="E214" s="187"/>
      <c r="F214" s="297">
        <f>F212+F213</f>
        <v>4037.414634146342</v>
      </c>
    </row>
    <row r="215" spans="1:6" ht="18.649999999999999" customHeight="1">
      <c r="A215" s="183"/>
      <c r="B215" s="182"/>
      <c r="C215" s="178"/>
      <c r="D215" s="137"/>
      <c r="E215" s="180"/>
      <c r="F215" s="181"/>
    </row>
    <row r="216" spans="1:6" ht="18.649999999999999" customHeight="1">
      <c r="A216" s="188">
        <v>11</v>
      </c>
      <c r="B216" s="488" t="s">
        <v>76</v>
      </c>
      <c r="C216" s="488"/>
      <c r="D216" s="488"/>
      <c r="E216" s="488"/>
      <c r="F216" s="489"/>
    </row>
    <row r="217" spans="1:6" s="63" customFormat="1" ht="18.649999999999999" customHeight="1">
      <c r="A217" s="152">
        <v>11.01</v>
      </c>
      <c r="B217" s="99" t="s">
        <v>75</v>
      </c>
      <c r="C217" s="41" t="s">
        <v>36</v>
      </c>
      <c r="D217" s="117">
        <v>30</v>
      </c>
      <c r="E217" s="134">
        <f>F217/D217</f>
        <v>4696.5141538461548</v>
      </c>
      <c r="F217" s="298">
        <f>F224+F234</f>
        <v>140895.42461538463</v>
      </c>
    </row>
    <row r="218" spans="1:6" ht="18.649999999999999" customHeight="1">
      <c r="A218" s="164"/>
      <c r="B218" s="19"/>
      <c r="C218" s="20"/>
      <c r="D218" s="137">
        <f>D217*0.05</f>
        <v>1.5</v>
      </c>
      <c r="E218" s="136"/>
      <c r="F218" s="165"/>
    </row>
    <row r="219" spans="1:6" s="90" customFormat="1" ht="18.649999999999999" customHeight="1">
      <c r="A219" s="166"/>
      <c r="B219" s="97" t="s">
        <v>2</v>
      </c>
      <c r="C219" s="23"/>
      <c r="D219" s="118"/>
      <c r="E219" s="133"/>
      <c r="F219" s="292"/>
    </row>
    <row r="220" spans="1:6" ht="18.649999999999999" customHeight="1">
      <c r="A220" s="157"/>
      <c r="B220" s="13" t="s">
        <v>30</v>
      </c>
      <c r="C220" s="9" t="s">
        <v>28</v>
      </c>
      <c r="D220" s="118">
        <f>D217*0.1*1.5</f>
        <v>4.5</v>
      </c>
      <c r="E220" s="133">
        <v>12000</v>
      </c>
      <c r="F220" s="155">
        <f>+D220*E220</f>
        <v>54000</v>
      </c>
    </row>
    <row r="221" spans="1:6" ht="18.649999999999999" customHeight="1">
      <c r="A221" s="166"/>
      <c r="B221" s="98" t="s">
        <v>11</v>
      </c>
      <c r="C221" s="23" t="s">
        <v>12</v>
      </c>
      <c r="D221" s="118">
        <f>D218*(1/13)*1.57*(1440/50)</f>
        <v>5.2172307692307696</v>
      </c>
      <c r="E221" s="133">
        <v>12000</v>
      </c>
      <c r="F221" s="292">
        <f>D221*E221</f>
        <v>62606.769230769234</v>
      </c>
    </row>
    <row r="222" spans="1:6" ht="18.649999999999999" customHeight="1">
      <c r="A222" s="166"/>
      <c r="B222" s="98" t="s">
        <v>13</v>
      </c>
      <c r="C222" s="23" t="s">
        <v>10</v>
      </c>
      <c r="D222" s="118">
        <f>D218*(4/13)*1.57</f>
        <v>0.72461538461538466</v>
      </c>
      <c r="E222" s="133">
        <v>25000</v>
      </c>
      <c r="F222" s="292">
        <f>D222*E222</f>
        <v>18115.384615384617</v>
      </c>
    </row>
    <row r="223" spans="1:6" ht="18.649999999999999" customHeight="1">
      <c r="A223" s="166"/>
      <c r="B223" s="98" t="s">
        <v>14</v>
      </c>
      <c r="C223" s="23" t="s">
        <v>10</v>
      </c>
      <c r="D223" s="118">
        <f>D218*(8/13)*1.57</f>
        <v>1.4492307692307693</v>
      </c>
      <c r="E223" s="133">
        <v>27000</v>
      </c>
      <c r="F223" s="292">
        <f>D223*E223</f>
        <v>39129.230769230773</v>
      </c>
    </row>
    <row r="224" spans="1:6" ht="18.649999999999999" customHeight="1">
      <c r="A224" s="167"/>
      <c r="B224" s="97" t="s">
        <v>18</v>
      </c>
      <c r="C224" s="28"/>
      <c r="D224" s="121"/>
      <c r="E224" s="135"/>
      <c r="F224" s="293">
        <f>SUM(F221:F223)</f>
        <v>119851.38461538462</v>
      </c>
    </row>
    <row r="225" spans="1:6" ht="18.649999999999999" customHeight="1">
      <c r="A225" s="167"/>
      <c r="B225" s="97"/>
      <c r="C225" s="28"/>
      <c r="D225" s="121"/>
      <c r="E225" s="135"/>
      <c r="F225" s="293"/>
    </row>
    <row r="226" spans="1:6" ht="18.649999999999999" customHeight="1">
      <c r="A226" s="171"/>
      <c r="B226" s="101" t="s">
        <v>19</v>
      </c>
      <c r="C226" s="56"/>
      <c r="D226" s="137"/>
      <c r="E226" s="136"/>
      <c r="F226" s="295"/>
    </row>
    <row r="227" spans="1:6" ht="18.649999999999999" customHeight="1">
      <c r="A227" s="171"/>
      <c r="B227" s="102" t="s">
        <v>20</v>
      </c>
      <c r="C227" s="56" t="s">
        <v>21</v>
      </c>
      <c r="D227" s="137">
        <f>D213/6</f>
        <v>9.5528455284552852E-2</v>
      </c>
      <c r="E227" s="136">
        <v>50000</v>
      </c>
      <c r="F227" s="295">
        <f>D227*E227</f>
        <v>4776.4227642276428</v>
      </c>
    </row>
    <row r="228" spans="1:6" ht="18.649999999999999" customHeight="1">
      <c r="A228" s="171"/>
      <c r="B228" s="102" t="s">
        <v>22</v>
      </c>
      <c r="C228" s="56" t="s">
        <v>21</v>
      </c>
      <c r="D228" s="137">
        <f>D213/6</f>
        <v>9.5528455284552852E-2</v>
      </c>
      <c r="E228" s="136">
        <v>15000</v>
      </c>
      <c r="F228" s="295">
        <f>D228*E228</f>
        <v>1432.9268292682927</v>
      </c>
    </row>
    <row r="229" spans="1:6" ht="18.649999999999999" customHeight="1">
      <c r="A229" s="172"/>
      <c r="B229" s="101" t="s">
        <v>23</v>
      </c>
      <c r="C229" s="57"/>
      <c r="D229" s="124"/>
      <c r="E229" s="262"/>
      <c r="F229" s="296">
        <f>SUM(F227:F228)</f>
        <v>6209.3495934959356</v>
      </c>
    </row>
    <row r="230" spans="1:6" ht="18.649999999999999" customHeight="1">
      <c r="A230" s="166"/>
      <c r="B230" s="98"/>
      <c r="C230" s="23"/>
      <c r="D230" s="118"/>
      <c r="E230" s="133"/>
      <c r="F230" s="292"/>
    </row>
    <row r="231" spans="1:6" ht="18.649999999999999" customHeight="1">
      <c r="A231" s="166"/>
      <c r="B231" s="97" t="s">
        <v>6</v>
      </c>
      <c r="C231" s="23"/>
      <c r="D231" s="118"/>
      <c r="E231" s="133"/>
      <c r="F231" s="292"/>
    </row>
    <row r="232" spans="1:6" ht="18.649999999999999" customHeight="1">
      <c r="A232" s="166"/>
      <c r="B232" s="98" t="s">
        <v>24</v>
      </c>
      <c r="C232" s="23" t="s">
        <v>21</v>
      </c>
      <c r="D232" s="118">
        <f>(D218/6)*2</f>
        <v>0.5</v>
      </c>
      <c r="E232" s="133">
        <v>6088.08</v>
      </c>
      <c r="F232" s="292">
        <f>D232*E232</f>
        <v>3044.04</v>
      </c>
    </row>
    <row r="233" spans="1:6" ht="18.649999999999999" customHeight="1">
      <c r="A233" s="166"/>
      <c r="B233" s="98" t="s">
        <v>25</v>
      </c>
      <c r="C233" s="23" t="s">
        <v>21</v>
      </c>
      <c r="D233" s="118">
        <f>(D218/6)*18</f>
        <v>4.5</v>
      </c>
      <c r="E233" s="133">
        <v>4000</v>
      </c>
      <c r="F233" s="292">
        <f>D233*E233</f>
        <v>18000</v>
      </c>
    </row>
    <row r="234" spans="1:6" ht="18.649999999999999" customHeight="1">
      <c r="A234" s="167"/>
      <c r="B234" s="97" t="s">
        <v>27</v>
      </c>
      <c r="C234" s="28"/>
      <c r="D234" s="121"/>
      <c r="E234" s="135"/>
      <c r="F234" s="293">
        <f>SUM(F232:F233)</f>
        <v>21044.04</v>
      </c>
    </row>
    <row r="235" spans="1:6" ht="18.649999999999999" customHeight="1">
      <c r="A235" s="166"/>
      <c r="B235" s="98"/>
      <c r="C235" s="23"/>
      <c r="D235" s="118"/>
      <c r="E235" s="133"/>
      <c r="F235" s="292"/>
    </row>
    <row r="236" spans="1:6" ht="18.649999999999999" customHeight="1">
      <c r="A236" s="152">
        <v>12.01</v>
      </c>
      <c r="B236" s="2" t="s">
        <v>80</v>
      </c>
      <c r="C236" s="65" t="s">
        <v>47</v>
      </c>
      <c r="D236" s="126">
        <v>30</v>
      </c>
      <c r="E236" s="282">
        <f>F236/D236</f>
        <v>4745.6996666666673</v>
      </c>
      <c r="F236" s="153">
        <f>F240+F245</f>
        <v>142370.99000000002</v>
      </c>
    </row>
    <row r="237" spans="1:6" ht="18.649999999999999" customHeight="1">
      <c r="A237" s="157"/>
      <c r="B237" s="60" t="s">
        <v>2</v>
      </c>
      <c r="C237" s="44"/>
      <c r="D237" s="127"/>
      <c r="E237" s="283"/>
      <c r="F237" s="155"/>
    </row>
    <row r="238" spans="1:6" ht="18.649999999999999" customHeight="1">
      <c r="A238" s="157"/>
      <c r="B238" s="48" t="s">
        <v>11</v>
      </c>
      <c r="C238" s="44" t="s">
        <v>12</v>
      </c>
      <c r="D238" s="127">
        <f>D236*(1/6)*0.032*(1440/50)*1.54</f>
        <v>7.0963200000000013</v>
      </c>
      <c r="E238" s="283">
        <v>12000</v>
      </c>
      <c r="F238" s="155">
        <f>E238*D238</f>
        <v>85155.840000000011</v>
      </c>
    </row>
    <row r="239" spans="1:6" ht="18.649999999999999" customHeight="1">
      <c r="A239" s="157"/>
      <c r="B239" s="48" t="s">
        <v>13</v>
      </c>
      <c r="C239" s="44" t="s">
        <v>10</v>
      </c>
      <c r="D239" s="127">
        <f>D236*(5/6)*0.032*1.54</f>
        <v>1.2320000000000002</v>
      </c>
      <c r="E239" s="283">
        <v>25000</v>
      </c>
      <c r="F239" s="155">
        <f>E239*D239</f>
        <v>30800.000000000004</v>
      </c>
    </row>
    <row r="240" spans="1:6" ht="18.649999999999999" customHeight="1">
      <c r="A240" s="167"/>
      <c r="B240" s="97" t="s">
        <v>5</v>
      </c>
      <c r="C240" s="28"/>
      <c r="D240" s="121"/>
      <c r="E240" s="135"/>
      <c r="F240" s="293">
        <f>SUM(F238:F239)</f>
        <v>115955.84000000001</v>
      </c>
    </row>
    <row r="241" spans="1:6" ht="18.649999999999999" customHeight="1">
      <c r="A241" s="166"/>
      <c r="B241" s="98"/>
      <c r="C241" s="23"/>
      <c r="D241" s="118"/>
      <c r="E241" s="133"/>
      <c r="F241" s="292"/>
    </row>
    <row r="242" spans="1:6" ht="18.649999999999999" customHeight="1">
      <c r="A242" s="166"/>
      <c r="B242" s="97" t="s">
        <v>6</v>
      </c>
      <c r="C242" s="23"/>
      <c r="D242" s="118"/>
      <c r="E242" s="133"/>
      <c r="F242" s="292"/>
    </row>
    <row r="243" spans="1:6" ht="18.649999999999999" customHeight="1">
      <c r="A243" s="166"/>
      <c r="B243" s="98" t="s">
        <v>34</v>
      </c>
      <c r="C243" s="23" t="s">
        <v>8</v>
      </c>
      <c r="D243" s="118">
        <f>D236/16</f>
        <v>1.875</v>
      </c>
      <c r="E243" s="133">
        <v>6088.08</v>
      </c>
      <c r="F243" s="292">
        <f>D243*E243</f>
        <v>11415.15</v>
      </c>
    </row>
    <row r="244" spans="1:6" ht="18.649999999999999" customHeight="1">
      <c r="A244" s="166"/>
      <c r="B244" s="98" t="s">
        <v>7</v>
      </c>
      <c r="C244" s="23" t="s">
        <v>8</v>
      </c>
      <c r="D244" s="118">
        <f>D243*2</f>
        <v>3.75</v>
      </c>
      <c r="E244" s="133">
        <v>4000</v>
      </c>
      <c r="F244" s="292">
        <f>D244*E244</f>
        <v>15000</v>
      </c>
    </row>
    <row r="245" spans="1:6" ht="17">
      <c r="A245" s="167"/>
      <c r="B245" s="97" t="s">
        <v>9</v>
      </c>
      <c r="C245" s="28"/>
      <c r="D245" s="121"/>
      <c r="E245" s="135"/>
      <c r="F245" s="293">
        <f>SUM(F243:F244)</f>
        <v>26415.15</v>
      </c>
    </row>
    <row r="246" spans="1:6" ht="17">
      <c r="A246" s="167"/>
      <c r="B246" s="97"/>
      <c r="C246" s="28"/>
      <c r="D246" s="121"/>
      <c r="E246" s="135"/>
      <c r="F246" s="293"/>
    </row>
    <row r="247" spans="1:6" ht="19.5">
      <c r="A247" s="168">
        <v>13</v>
      </c>
      <c r="B247" s="484" t="s">
        <v>48</v>
      </c>
      <c r="C247" s="484"/>
      <c r="D247" s="484"/>
      <c r="E247" s="484"/>
      <c r="F247" s="485"/>
    </row>
    <row r="248" spans="1:6" ht="18">
      <c r="A248" s="169">
        <v>13.01</v>
      </c>
      <c r="B248" s="16" t="s">
        <v>49</v>
      </c>
      <c r="C248" s="35" t="s">
        <v>50</v>
      </c>
      <c r="D248" s="125">
        <f>((5+6+2.5)*3)-(3.78+3)</f>
        <v>33.72</v>
      </c>
      <c r="E248" s="138">
        <f>F248/D248</f>
        <v>3911.1605423728811</v>
      </c>
      <c r="F248" s="153">
        <f>F252+F257</f>
        <v>131884.33348881354</v>
      </c>
    </row>
    <row r="249" spans="1:6">
      <c r="A249" s="166"/>
      <c r="B249" s="60" t="s">
        <v>51</v>
      </c>
      <c r="C249" s="44"/>
      <c r="D249" s="118"/>
      <c r="E249" s="133"/>
      <c r="F249" s="155"/>
    </row>
    <row r="250" spans="1:6" s="90" customFormat="1">
      <c r="A250" s="164"/>
      <c r="B250" s="48" t="s">
        <v>52</v>
      </c>
      <c r="C250" s="44" t="s">
        <v>12</v>
      </c>
      <c r="D250" s="118">
        <f>D248*0.015*(1/5)*1.54*(1440/50)</f>
        <v>4.4866483199999996</v>
      </c>
      <c r="E250" s="133">
        <f>11000/1.18</f>
        <v>9322.033898305086</v>
      </c>
      <c r="F250" s="155">
        <f>D250*E250</f>
        <v>41824.687728813558</v>
      </c>
    </row>
    <row r="251" spans="1:6">
      <c r="A251" s="189"/>
      <c r="B251" s="48" t="s">
        <v>13</v>
      </c>
      <c r="C251" s="44" t="s">
        <v>28</v>
      </c>
      <c r="D251" s="118">
        <f>D248*0.015*1.54*(4/5)</f>
        <v>0.62314559999999997</v>
      </c>
      <c r="E251" s="133">
        <v>25000</v>
      </c>
      <c r="F251" s="155">
        <f>D251*E251</f>
        <v>15578.64</v>
      </c>
    </row>
    <row r="252" spans="1:6" ht="17">
      <c r="A252" s="190"/>
      <c r="B252" s="60" t="s">
        <v>5</v>
      </c>
      <c r="C252" s="61"/>
      <c r="D252" s="121"/>
      <c r="E252" s="135"/>
      <c r="F252" s="162">
        <f>SUM(F250:F251)</f>
        <v>57403.327728813558</v>
      </c>
    </row>
    <row r="253" spans="1:6">
      <c r="A253" s="189"/>
      <c r="B253" s="48"/>
      <c r="C253" s="44"/>
      <c r="D253" s="118"/>
      <c r="E253" s="133"/>
      <c r="F253" s="155"/>
    </row>
    <row r="254" spans="1:6">
      <c r="A254" s="189"/>
      <c r="B254" s="60" t="s">
        <v>53</v>
      </c>
      <c r="C254" s="44"/>
      <c r="D254" s="118"/>
      <c r="E254" s="133"/>
      <c r="F254" s="155"/>
    </row>
    <row r="255" spans="1:6">
      <c r="A255" s="189"/>
      <c r="B255" s="48" t="s">
        <v>34</v>
      </c>
      <c r="C255" s="44" t="s">
        <v>8</v>
      </c>
      <c r="D255" s="118">
        <f>D248/10</f>
        <v>3.3719999999999999</v>
      </c>
      <c r="E255" s="133">
        <v>6088.08</v>
      </c>
      <c r="F255" s="155">
        <f>D255*E255</f>
        <v>20529.00576</v>
      </c>
    </row>
    <row r="256" spans="1:6">
      <c r="A256" s="189"/>
      <c r="B256" s="48" t="s">
        <v>7</v>
      </c>
      <c r="C256" s="44" t="s">
        <v>8</v>
      </c>
      <c r="D256" s="118">
        <f>D255*4</f>
        <v>13.488</v>
      </c>
      <c r="E256" s="133">
        <v>4000</v>
      </c>
      <c r="F256" s="155">
        <f>D256*E256</f>
        <v>53952</v>
      </c>
    </row>
    <row r="257" spans="1:6">
      <c r="A257" s="191"/>
      <c r="B257" s="97" t="s">
        <v>54</v>
      </c>
      <c r="C257" s="49"/>
      <c r="D257" s="118"/>
      <c r="E257" s="141"/>
      <c r="F257" s="162">
        <f>SUM(F255:F256)</f>
        <v>74481.00576</v>
      </c>
    </row>
    <row r="258" spans="1:6">
      <c r="A258" s="154"/>
      <c r="B258" s="48"/>
      <c r="C258" s="44"/>
      <c r="D258" s="118"/>
      <c r="E258" s="133"/>
      <c r="F258" s="155"/>
    </row>
    <row r="259" spans="1:6" ht="19.5">
      <c r="A259" s="192">
        <v>14</v>
      </c>
      <c r="B259" s="104" t="s">
        <v>55</v>
      </c>
      <c r="C259" s="94"/>
      <c r="D259" s="129"/>
      <c r="E259" s="284"/>
      <c r="F259" s="299"/>
    </row>
    <row r="260" spans="1:6" ht="18">
      <c r="A260" s="193">
        <v>14.01</v>
      </c>
      <c r="B260" s="16" t="s">
        <v>49</v>
      </c>
      <c r="C260" s="35" t="s">
        <v>1</v>
      </c>
      <c r="D260" s="125">
        <f>D248</f>
        <v>33.72</v>
      </c>
      <c r="E260" s="138">
        <f>F260/D260</f>
        <v>2189.9300000000003</v>
      </c>
      <c r="F260" s="153">
        <f>F269+F274</f>
        <v>73844.439600000012</v>
      </c>
    </row>
    <row r="261" spans="1:6">
      <c r="A261" s="154"/>
      <c r="B261" s="105"/>
      <c r="C261" s="18"/>
      <c r="D261" s="130"/>
      <c r="E261" s="136"/>
      <c r="F261" s="165"/>
    </row>
    <row r="262" spans="1:6" s="90" customFormat="1">
      <c r="A262" s="154"/>
      <c r="B262" s="60" t="s">
        <v>2</v>
      </c>
      <c r="C262" s="44"/>
      <c r="D262" s="118"/>
      <c r="E262" s="133"/>
      <c r="F262" s="155"/>
    </row>
    <row r="263" spans="1:6">
      <c r="A263" s="194"/>
      <c r="B263" s="48" t="s">
        <v>56</v>
      </c>
      <c r="C263" s="44" t="s">
        <v>57</v>
      </c>
      <c r="D263" s="118">
        <f>D260*0.07*3</f>
        <v>7.0812000000000008</v>
      </c>
      <c r="E263" s="133">
        <f>105000/20</f>
        <v>5250</v>
      </c>
      <c r="F263" s="155">
        <f>E263*D263</f>
        <v>37176.300000000003</v>
      </c>
    </row>
    <row r="264" spans="1:6">
      <c r="A264" s="189"/>
      <c r="B264" s="48" t="str">
        <f>'[1]Emulsion Paint'!$B$19</f>
        <v>Induit/undercoat ( 2 coats)</v>
      </c>
      <c r="C264" s="44" t="s">
        <v>57</v>
      </c>
      <c r="D264" s="118">
        <f>D260*0.07*2</f>
        <v>4.7208000000000006</v>
      </c>
      <c r="E264" s="133">
        <f>20000/20</f>
        <v>1000</v>
      </c>
      <c r="F264" s="155">
        <f t="shared" ref="F264:F268" si="0">E264*D264</f>
        <v>4720.8</v>
      </c>
    </row>
    <row r="265" spans="1:6">
      <c r="A265" s="189"/>
      <c r="B265" s="48" t="str">
        <f>'[1]Emulsion Paint'!$B$24</f>
        <v>Roller</v>
      </c>
      <c r="C265" s="44" t="s">
        <v>44</v>
      </c>
      <c r="D265" s="118">
        <f>D260/100</f>
        <v>0.3372</v>
      </c>
      <c r="E265" s="133">
        <v>2000</v>
      </c>
      <c r="F265" s="155">
        <f t="shared" si="0"/>
        <v>674.4</v>
      </c>
    </row>
    <row r="266" spans="1:6">
      <c r="A266" s="189"/>
      <c r="B266" s="48" t="str">
        <f>'[1]Emulsion Paint'!$B$23</f>
        <v>Brush</v>
      </c>
      <c r="C266" s="44" t="s">
        <v>44</v>
      </c>
      <c r="D266" s="118">
        <f>D260/100</f>
        <v>0.3372</v>
      </c>
      <c r="E266" s="133">
        <v>1000</v>
      </c>
      <c r="F266" s="155">
        <f t="shared" si="0"/>
        <v>337.2</v>
      </c>
    </row>
    <row r="267" spans="1:6">
      <c r="A267" s="189"/>
      <c r="B267" s="48" t="s">
        <v>58</v>
      </c>
      <c r="C267" s="44" t="s">
        <v>59</v>
      </c>
      <c r="D267" s="118">
        <f>D260/100</f>
        <v>0.3372</v>
      </c>
      <c r="E267" s="133">
        <v>500</v>
      </c>
      <c r="F267" s="155">
        <f t="shared" si="0"/>
        <v>168.6</v>
      </c>
    </row>
    <row r="268" spans="1:6">
      <c r="A268" s="189"/>
      <c r="B268" s="48" t="s">
        <v>60</v>
      </c>
      <c r="C268" s="44" t="s">
        <v>44</v>
      </c>
      <c r="D268" s="118">
        <f>D260/50</f>
        <v>0.6744</v>
      </c>
      <c r="E268" s="133">
        <v>5000</v>
      </c>
      <c r="F268" s="155">
        <f t="shared" si="0"/>
        <v>3372</v>
      </c>
    </row>
    <row r="269" spans="1:6" ht="17">
      <c r="A269" s="190"/>
      <c r="B269" s="60" t="s">
        <v>61</v>
      </c>
      <c r="C269" s="61"/>
      <c r="D269" s="121"/>
      <c r="E269" s="135"/>
      <c r="F269" s="162">
        <f>SUM(F263:F268)</f>
        <v>46449.3</v>
      </c>
    </row>
    <row r="270" spans="1:6">
      <c r="A270" s="189"/>
      <c r="B270" s="48"/>
      <c r="C270" s="44"/>
      <c r="D270" s="118"/>
      <c r="E270" s="133"/>
      <c r="F270" s="155"/>
    </row>
    <row r="271" spans="1:6">
      <c r="A271" s="189"/>
      <c r="B271" s="60" t="s">
        <v>6</v>
      </c>
      <c r="C271" s="44"/>
      <c r="D271" s="118"/>
      <c r="E271" s="133"/>
      <c r="F271" s="155"/>
    </row>
    <row r="272" spans="1:6">
      <c r="A272" s="189"/>
      <c r="B272" s="48" t="s">
        <v>7</v>
      </c>
      <c r="C272" s="44" t="s">
        <v>62</v>
      </c>
      <c r="D272" s="118">
        <f>D273</f>
        <v>2.48685</v>
      </c>
      <c r="E272" s="133">
        <v>4000</v>
      </c>
      <c r="F272" s="155">
        <f>E272*D272</f>
        <v>9947.4</v>
      </c>
    </row>
    <row r="273" spans="1:6">
      <c r="A273" s="189"/>
      <c r="B273" s="48" t="s">
        <v>63</v>
      </c>
      <c r="C273" s="44" t="s">
        <v>62</v>
      </c>
      <c r="D273" s="118">
        <f>D260*(0.59/8)</f>
        <v>2.48685</v>
      </c>
      <c r="E273" s="133">
        <v>7016</v>
      </c>
      <c r="F273" s="155">
        <f>E273*D273</f>
        <v>17447.739600000001</v>
      </c>
    </row>
    <row r="274" spans="1:6" ht="17">
      <c r="A274" s="167"/>
      <c r="B274" s="97" t="s">
        <v>9</v>
      </c>
      <c r="C274" s="28"/>
      <c r="D274" s="121"/>
      <c r="E274" s="135"/>
      <c r="F274" s="293">
        <f>SUM(F272:F273)</f>
        <v>27395.139600000002</v>
      </c>
    </row>
    <row r="275" spans="1:6">
      <c r="A275" s="195"/>
      <c r="B275" s="106"/>
      <c r="C275" s="47"/>
      <c r="D275" s="118"/>
      <c r="E275" s="141"/>
      <c r="F275" s="300"/>
    </row>
    <row r="276" spans="1:6" ht="19.5">
      <c r="A276" s="168">
        <v>15</v>
      </c>
      <c r="B276" s="484" t="s">
        <v>117</v>
      </c>
      <c r="C276" s="484"/>
      <c r="D276" s="484"/>
      <c r="E276" s="484"/>
      <c r="F276" s="485"/>
    </row>
    <row r="277" spans="1:6" ht="18">
      <c r="A277" s="169">
        <v>15.01</v>
      </c>
      <c r="B277" s="16" t="s">
        <v>64</v>
      </c>
      <c r="C277" s="35" t="s">
        <v>50</v>
      </c>
      <c r="D277" s="125">
        <f>((13.5*3)+((2.5+2+2.5)*3))-(3.78+3)</f>
        <v>54.72</v>
      </c>
      <c r="E277" s="138">
        <f>F277/D277</f>
        <v>4012.2128192090399</v>
      </c>
      <c r="F277" s="153">
        <f>F282+F287</f>
        <v>219548.28546711867</v>
      </c>
    </row>
    <row r="278" spans="1:6">
      <c r="A278" s="166"/>
      <c r="B278" s="60" t="s">
        <v>51</v>
      </c>
      <c r="C278" s="44"/>
      <c r="D278" s="118"/>
      <c r="E278" s="133"/>
      <c r="F278" s="155"/>
    </row>
    <row r="279" spans="1:6" s="90" customFormat="1" ht="31.65" customHeight="1">
      <c r="A279" s="164"/>
      <c r="B279" s="48" t="s">
        <v>52</v>
      </c>
      <c r="C279" s="44" t="s">
        <v>12</v>
      </c>
      <c r="D279" s="118">
        <f>D277*0.01*(1/4)*1.54*(1440/50)+(D277*0.003*(1/6)*1.57*(1440/50))</f>
        <v>7.3044633600000006</v>
      </c>
      <c r="E279" s="133">
        <f>11000/1.18</f>
        <v>9322.033898305086</v>
      </c>
      <c r="F279" s="155">
        <f>D279*E279</f>
        <v>68092.455050847479</v>
      </c>
    </row>
    <row r="280" spans="1:6">
      <c r="A280" s="189"/>
      <c r="B280" s="48" t="s">
        <v>13</v>
      </c>
      <c r="C280" s="44" t="s">
        <v>28</v>
      </c>
      <c r="D280" s="118">
        <f>D277*0.01*1.5*1.54*(3/4)</f>
        <v>0.94802399999999998</v>
      </c>
      <c r="E280" s="133">
        <v>25000</v>
      </c>
      <c r="F280" s="155">
        <f>D280*E280</f>
        <v>23700.6</v>
      </c>
    </row>
    <row r="281" spans="1:6">
      <c r="A281" s="189"/>
      <c r="B281" s="48" t="s">
        <v>65</v>
      </c>
      <c r="C281" s="44" t="s">
        <v>31</v>
      </c>
      <c r="D281" s="118">
        <f>D277*0.003*(5/6)*1.57*(1440/50)</f>
        <v>6.1855488000000012</v>
      </c>
      <c r="E281" s="133">
        <f>9000/1.18</f>
        <v>7627.1186440677966</v>
      </c>
      <c r="F281" s="155">
        <f>D281*E281</f>
        <v>47177.914576271192</v>
      </c>
    </row>
    <row r="282" spans="1:6" ht="17">
      <c r="A282" s="190"/>
      <c r="B282" s="60" t="s">
        <v>5</v>
      </c>
      <c r="C282" s="61"/>
      <c r="D282" s="121"/>
      <c r="E282" s="135"/>
      <c r="F282" s="162">
        <f>SUM(F279:F281)</f>
        <v>138970.96962711867</v>
      </c>
    </row>
    <row r="283" spans="1:6">
      <c r="A283" s="189"/>
      <c r="B283" s="48"/>
      <c r="C283" s="44"/>
      <c r="D283" s="118"/>
      <c r="E283" s="133"/>
      <c r="F283" s="155"/>
    </row>
    <row r="284" spans="1:6">
      <c r="A284" s="189"/>
      <c r="B284" s="60" t="s">
        <v>53</v>
      </c>
      <c r="C284" s="44"/>
      <c r="D284" s="118"/>
      <c r="E284" s="133"/>
      <c r="F284" s="155"/>
    </row>
    <row r="285" spans="1:6">
      <c r="A285" s="189"/>
      <c r="B285" s="48" t="s">
        <v>34</v>
      </c>
      <c r="C285" s="44" t="s">
        <v>8</v>
      </c>
      <c r="D285" s="118">
        <f>D277/15</f>
        <v>3.6480000000000001</v>
      </c>
      <c r="E285" s="133">
        <v>6088.08</v>
      </c>
      <c r="F285" s="155">
        <f>D285*E285</f>
        <v>22209.315839999999</v>
      </c>
    </row>
    <row r="286" spans="1:6">
      <c r="A286" s="189"/>
      <c r="B286" s="48" t="s">
        <v>7</v>
      </c>
      <c r="C286" s="44" t="s">
        <v>8</v>
      </c>
      <c r="D286" s="118">
        <f>D285*4</f>
        <v>14.592000000000001</v>
      </c>
      <c r="E286" s="133">
        <v>4000</v>
      </c>
      <c r="F286" s="155">
        <f>D286*E286</f>
        <v>58368</v>
      </c>
    </row>
    <row r="287" spans="1:6" ht="17">
      <c r="A287" s="190"/>
      <c r="B287" s="97" t="s">
        <v>54</v>
      </c>
      <c r="C287" s="61"/>
      <c r="D287" s="121"/>
      <c r="E287" s="135"/>
      <c r="F287" s="162">
        <f>F285+F286</f>
        <v>80577.315839999996</v>
      </c>
    </row>
    <row r="288" spans="1:6">
      <c r="A288" s="166"/>
      <c r="B288" s="98"/>
      <c r="C288" s="23"/>
      <c r="D288" s="118"/>
      <c r="E288" s="133"/>
      <c r="F288" s="292"/>
    </row>
    <row r="289" spans="1:6" ht="19.649999999999999" customHeight="1">
      <c r="A289" s="168">
        <v>16</v>
      </c>
      <c r="B289" s="484" t="s">
        <v>143</v>
      </c>
      <c r="C289" s="484"/>
      <c r="D289" s="484"/>
      <c r="E289" s="484"/>
      <c r="F289" s="485"/>
    </row>
    <row r="290" spans="1:6" ht="18">
      <c r="A290" s="199">
        <v>16.010000000000002</v>
      </c>
      <c r="B290" s="16" t="s">
        <v>66</v>
      </c>
      <c r="C290" s="35" t="s">
        <v>1</v>
      </c>
      <c r="D290" s="125">
        <f>D277+D248</f>
        <v>88.44</v>
      </c>
      <c r="E290" s="138">
        <f>F290/D290</f>
        <v>3900.6992307692312</v>
      </c>
      <c r="F290" s="153">
        <f>F300+F305</f>
        <v>344977.83996923082</v>
      </c>
    </row>
    <row r="291" spans="1:6" ht="18">
      <c r="A291" s="204"/>
      <c r="B291" s="60" t="s">
        <v>2</v>
      </c>
      <c r="C291" s="44"/>
      <c r="D291" s="118"/>
      <c r="E291" s="133"/>
      <c r="F291" s="155"/>
    </row>
    <row r="292" spans="1:6" ht="18">
      <c r="A292" s="204"/>
      <c r="B292" s="48" t="str">
        <f>'[1]Emulsion Paint'!$B$22</f>
        <v>Emulsion paint ( 3 coats)</v>
      </c>
      <c r="C292" s="44" t="s">
        <v>57</v>
      </c>
      <c r="D292" s="118">
        <f>D290*0.07*3</f>
        <v>18.572400000000002</v>
      </c>
      <c r="E292" s="133">
        <f>65000/20</f>
        <v>3250</v>
      </c>
      <c r="F292" s="155">
        <f t="shared" ref="F292:F299" si="1">E292*D292</f>
        <v>60360.3</v>
      </c>
    </row>
    <row r="293" spans="1:6" ht="18">
      <c r="A293" s="306"/>
      <c r="B293" s="48" t="str">
        <f>'[1]Emulsion Paint'!$B$20</f>
        <v>Whiting/stucco ( 2 coats)</v>
      </c>
      <c r="C293" s="44" t="s">
        <v>67</v>
      </c>
      <c r="D293" s="118">
        <f>D290*((50*2)/65)*2</f>
        <v>272.12307692307695</v>
      </c>
      <c r="E293" s="133">
        <f>16000/50</f>
        <v>320</v>
      </c>
      <c r="F293" s="155">
        <f t="shared" si="1"/>
        <v>87079.384615384624</v>
      </c>
    </row>
    <row r="294" spans="1:6" ht="18">
      <c r="A294" s="239"/>
      <c r="B294" s="48" t="str">
        <f>'[1]Emulsion Paint'!$B$19</f>
        <v>Induit/undercoat ( 2 coats)</v>
      </c>
      <c r="C294" s="44" t="s">
        <v>57</v>
      </c>
      <c r="D294" s="118">
        <f>D290*0.07*2</f>
        <v>12.381600000000001</v>
      </c>
      <c r="E294" s="133">
        <f>20000/20</f>
        <v>1000</v>
      </c>
      <c r="F294" s="155">
        <f t="shared" si="1"/>
        <v>12381.6</v>
      </c>
    </row>
    <row r="295" spans="1:6" ht="18">
      <c r="A295" s="239"/>
      <c r="B295" s="48" t="s">
        <v>68</v>
      </c>
      <c r="C295" s="44" t="s">
        <v>57</v>
      </c>
      <c r="D295" s="118">
        <f>D290*((30/65)*2)</f>
        <v>81.636923076923082</v>
      </c>
      <c r="E295" s="133">
        <f>20000/20</f>
        <v>1000</v>
      </c>
      <c r="F295" s="155">
        <f t="shared" si="1"/>
        <v>81636.923076923078</v>
      </c>
    </row>
    <row r="296" spans="1:6" ht="18">
      <c r="A296" s="239"/>
      <c r="B296" s="48" t="str">
        <f>'[1]Emulsion Paint'!$B$21</f>
        <v>Colle</v>
      </c>
      <c r="C296" s="44" t="s">
        <v>69</v>
      </c>
      <c r="D296" s="118">
        <f>D290*((1/65)*2)</f>
        <v>2.7212307692307691</v>
      </c>
      <c r="E296" s="133">
        <f>10500</f>
        <v>10500</v>
      </c>
      <c r="F296" s="155">
        <f t="shared" si="1"/>
        <v>28572.923076923074</v>
      </c>
    </row>
    <row r="297" spans="1:6" ht="18">
      <c r="A297" s="239"/>
      <c r="B297" s="48" t="str">
        <f>'[1]Emulsion Paint'!$B$24</f>
        <v>Roller</v>
      </c>
      <c r="C297" s="44" t="s">
        <v>44</v>
      </c>
      <c r="D297" s="118">
        <f>D290/100</f>
        <v>0.88439999999999996</v>
      </c>
      <c r="E297" s="133">
        <v>2000</v>
      </c>
      <c r="F297" s="155">
        <f t="shared" si="1"/>
        <v>1768.8</v>
      </c>
    </row>
    <row r="298" spans="1:6" ht="18">
      <c r="A298" s="239"/>
      <c r="B298" s="48" t="str">
        <f>'[1]Emulsion Paint'!$B$23</f>
        <v>Brush</v>
      </c>
      <c r="C298" s="44" t="s">
        <v>44</v>
      </c>
      <c r="D298" s="118">
        <f>D290/100</f>
        <v>0.88439999999999996</v>
      </c>
      <c r="E298" s="133">
        <v>1000</v>
      </c>
      <c r="F298" s="155">
        <f t="shared" si="1"/>
        <v>884.4</v>
      </c>
    </row>
    <row r="299" spans="1:6" ht="18">
      <c r="A299" s="239"/>
      <c r="B299" s="48" t="s">
        <v>58</v>
      </c>
      <c r="C299" s="44" t="s">
        <v>59</v>
      </c>
      <c r="D299" s="118">
        <f>D290/100</f>
        <v>0.88439999999999996</v>
      </c>
      <c r="E299" s="133">
        <v>500</v>
      </c>
      <c r="F299" s="155">
        <f t="shared" si="1"/>
        <v>442.2</v>
      </c>
    </row>
    <row r="300" spans="1:6" ht="19.5">
      <c r="A300" s="192"/>
      <c r="B300" s="60" t="s">
        <v>5</v>
      </c>
      <c r="C300" s="61"/>
      <c r="D300" s="121"/>
      <c r="E300" s="135"/>
      <c r="F300" s="162">
        <f>SUM(F292:F299)</f>
        <v>273126.5307692308</v>
      </c>
    </row>
    <row r="301" spans="1:6" ht="18">
      <c r="A301" s="239"/>
      <c r="B301" s="48"/>
      <c r="C301" s="44"/>
      <c r="D301" s="118"/>
      <c r="E301" s="133"/>
      <c r="F301" s="155"/>
    </row>
    <row r="302" spans="1:6" ht="18">
      <c r="A302" s="239"/>
      <c r="B302" s="60" t="s">
        <v>6</v>
      </c>
      <c r="C302" s="44"/>
      <c r="D302" s="118"/>
      <c r="E302" s="133"/>
      <c r="F302" s="155"/>
    </row>
    <row r="303" spans="1:6" ht="18">
      <c r="A303" s="239"/>
      <c r="B303" s="48" t="s">
        <v>7</v>
      </c>
      <c r="C303" s="44" t="s">
        <v>62</v>
      </c>
      <c r="D303" s="118">
        <f>D304</f>
        <v>6.5224499999999992</v>
      </c>
      <c r="E303" s="133">
        <v>4000</v>
      </c>
      <c r="F303" s="155">
        <f>E303*D303</f>
        <v>26089.799999999996</v>
      </c>
    </row>
    <row r="304" spans="1:6" ht="18">
      <c r="A304" s="239"/>
      <c r="B304" s="48" t="s">
        <v>70</v>
      </c>
      <c r="C304" s="44" t="s">
        <v>62</v>
      </c>
      <c r="D304" s="118">
        <f>D290*(0.59/8)</f>
        <v>6.5224499999999992</v>
      </c>
      <c r="E304" s="133">
        <v>7016</v>
      </c>
      <c r="F304" s="155">
        <f>E304*D304</f>
        <v>45761.509199999993</v>
      </c>
    </row>
    <row r="305" spans="1:6" ht="19.5">
      <c r="A305" s="192"/>
      <c r="B305" s="60" t="s">
        <v>54</v>
      </c>
      <c r="C305" s="61"/>
      <c r="D305" s="121"/>
      <c r="E305" s="135"/>
      <c r="F305" s="162">
        <f>SUM(F303:F304)</f>
        <v>71851.309199999989</v>
      </c>
    </row>
    <row r="306" spans="1:6" ht="19.399999999999999" customHeight="1">
      <c r="A306" s="192"/>
      <c r="B306" s="60"/>
      <c r="C306" s="61"/>
      <c r="D306" s="121"/>
      <c r="E306" s="135"/>
      <c r="F306" s="162"/>
    </row>
    <row r="307" spans="1:6" ht="36.65" customHeight="1">
      <c r="A307" s="151">
        <v>17</v>
      </c>
      <c r="B307" s="475" t="s">
        <v>133</v>
      </c>
      <c r="C307" s="475"/>
      <c r="D307" s="475"/>
      <c r="E307" s="475"/>
      <c r="F307" s="476"/>
    </row>
    <row r="308" spans="1:6" ht="18">
      <c r="A308" s="202">
        <v>17.010000000000002</v>
      </c>
      <c r="B308" s="2" t="s">
        <v>166</v>
      </c>
      <c r="C308" s="274" t="s">
        <v>131</v>
      </c>
      <c r="D308" s="288">
        <v>2</v>
      </c>
      <c r="E308" s="4">
        <f>F308/D308</f>
        <v>322717.42359999998</v>
      </c>
      <c r="F308" s="307">
        <f>F311+F316</f>
        <v>645434.84719999996</v>
      </c>
    </row>
    <row r="309" spans="1:6" ht="18">
      <c r="A309" s="201"/>
      <c r="B309" s="8" t="s">
        <v>29</v>
      </c>
      <c r="C309" s="9"/>
      <c r="D309" s="118"/>
      <c r="E309" s="133"/>
      <c r="F309" s="155"/>
    </row>
    <row r="310" spans="1:6" ht="18">
      <c r="A310" s="200"/>
      <c r="B310" s="48" t="s">
        <v>145</v>
      </c>
      <c r="C310" s="250" t="s">
        <v>131</v>
      </c>
      <c r="D310" s="302">
        <v>2</v>
      </c>
      <c r="E310" s="109">
        <f>0.7*445247.748</f>
        <v>311673.42359999998</v>
      </c>
      <c r="F310" s="308">
        <f>D310*E310</f>
        <v>623346.84719999996</v>
      </c>
    </row>
    <row r="311" spans="1:6" ht="19.5">
      <c r="A311" s="170"/>
      <c r="B311" s="8" t="s">
        <v>5</v>
      </c>
      <c r="C311" s="12"/>
      <c r="D311" s="121"/>
      <c r="E311" s="135"/>
      <c r="F311" s="162">
        <f>F310</f>
        <v>623346.84719999996</v>
      </c>
    </row>
    <row r="312" spans="1:6" ht="18">
      <c r="A312" s="200"/>
      <c r="B312" s="13"/>
      <c r="C312" s="9"/>
      <c r="D312" s="118"/>
      <c r="E312" s="133"/>
      <c r="F312" s="155"/>
    </row>
    <row r="313" spans="1:6" ht="18">
      <c r="A313" s="235"/>
      <c r="B313" s="8" t="s">
        <v>33</v>
      </c>
      <c r="C313" s="9"/>
      <c r="D313" s="118"/>
      <c r="E313" s="133"/>
      <c r="F313" s="155"/>
    </row>
    <row r="314" spans="1:6" ht="18">
      <c r="A314" s="200"/>
      <c r="B314" s="309" t="s">
        <v>34</v>
      </c>
      <c r="C314" s="9" t="s">
        <v>21</v>
      </c>
      <c r="D314" s="118">
        <f>D310/2</f>
        <v>1</v>
      </c>
      <c r="E314" s="133">
        <v>6088</v>
      </c>
      <c r="F314" s="155">
        <f>+D314*E314</f>
        <v>6088</v>
      </c>
    </row>
    <row r="315" spans="1:6" ht="18">
      <c r="A315" s="200"/>
      <c r="B315" s="13" t="s">
        <v>7</v>
      </c>
      <c r="C315" s="9" t="s">
        <v>21</v>
      </c>
      <c r="D315" s="118">
        <f>+D314*4</f>
        <v>4</v>
      </c>
      <c r="E315" s="133">
        <v>4000</v>
      </c>
      <c r="F315" s="155">
        <f>+D315*E315</f>
        <v>16000</v>
      </c>
    </row>
    <row r="316" spans="1:6" ht="19.5">
      <c r="A316" s="170"/>
      <c r="B316" s="8" t="s">
        <v>39</v>
      </c>
      <c r="C316" s="12"/>
      <c r="D316" s="121"/>
      <c r="E316" s="135"/>
      <c r="F316" s="162">
        <f>SUM(F314:F315)</f>
        <v>22088</v>
      </c>
    </row>
    <row r="317" spans="1:6" ht="15.5">
      <c r="A317" s="310"/>
      <c r="B317" s="48"/>
      <c r="C317" s="311"/>
      <c r="D317" s="312"/>
      <c r="E317" s="313"/>
      <c r="F317" s="314"/>
    </row>
    <row r="318" spans="1:6" ht="36.65" customHeight="1">
      <c r="A318" s="151">
        <v>18</v>
      </c>
      <c r="B318" s="475" t="s">
        <v>134</v>
      </c>
      <c r="C318" s="475"/>
      <c r="D318" s="475"/>
      <c r="E318" s="475"/>
      <c r="F318" s="476"/>
    </row>
    <row r="319" spans="1:6" ht="18">
      <c r="A319" s="202">
        <v>18.010000000000002</v>
      </c>
      <c r="B319" s="2" t="s">
        <v>169</v>
      </c>
      <c r="C319" s="274" t="s">
        <v>131</v>
      </c>
      <c r="D319" s="288">
        <v>1</v>
      </c>
      <c r="E319" s="304">
        <f>F319/D319</f>
        <v>796461.02747199999</v>
      </c>
      <c r="F319" s="315">
        <f>F321+F327</f>
        <v>796461.02747199999</v>
      </c>
    </row>
    <row r="320" spans="1:6" ht="18">
      <c r="A320" s="201"/>
      <c r="B320" s="8" t="s">
        <v>29</v>
      </c>
      <c r="C320" s="9"/>
      <c r="D320" s="118"/>
      <c r="E320" s="133"/>
      <c r="F320" s="155"/>
    </row>
    <row r="321" spans="1:6" ht="18">
      <c r="A321" s="200"/>
      <c r="B321" s="48" t="s">
        <v>165</v>
      </c>
      <c r="C321" s="250" t="s">
        <v>131</v>
      </c>
      <c r="D321" s="270">
        <v>2</v>
      </c>
      <c r="E321" s="287">
        <f>0.7*561012.16248</f>
        <v>392708.51373599999</v>
      </c>
      <c r="F321" s="316">
        <f>D321*E321</f>
        <v>785417.02747199999</v>
      </c>
    </row>
    <row r="322" spans="1:6" ht="18">
      <c r="A322" s="200"/>
      <c r="B322" s="8" t="s">
        <v>5</v>
      </c>
      <c r="C322" s="12"/>
      <c r="D322" s="121"/>
      <c r="E322" s="135"/>
      <c r="F322" s="162"/>
    </row>
    <row r="323" spans="1:6" ht="18">
      <c r="A323" s="235"/>
      <c r="B323" s="13"/>
      <c r="C323" s="9"/>
      <c r="D323" s="118"/>
      <c r="E323" s="133"/>
      <c r="F323" s="155"/>
    </row>
    <row r="324" spans="1:6" ht="18">
      <c r="A324" s="200"/>
      <c r="B324" s="8" t="s">
        <v>33</v>
      </c>
      <c r="C324" s="9"/>
      <c r="D324" s="118"/>
      <c r="E324" s="133"/>
      <c r="F324" s="155"/>
    </row>
    <row r="325" spans="1:6" ht="18">
      <c r="A325" s="200"/>
      <c r="B325" s="13" t="s">
        <v>34</v>
      </c>
      <c r="C325" s="9" t="s">
        <v>21</v>
      </c>
      <c r="D325" s="118">
        <f>D319/2</f>
        <v>0.5</v>
      </c>
      <c r="E325" s="133">
        <v>6088</v>
      </c>
      <c r="F325" s="155">
        <f>+D325*E325</f>
        <v>3044</v>
      </c>
    </row>
    <row r="326" spans="1:6" ht="19.5">
      <c r="A326" s="170"/>
      <c r="B326" s="13" t="s">
        <v>7</v>
      </c>
      <c r="C326" s="9" t="s">
        <v>21</v>
      </c>
      <c r="D326" s="118">
        <f>+D325*4</f>
        <v>2</v>
      </c>
      <c r="E326" s="133">
        <v>4000</v>
      </c>
      <c r="F326" s="155">
        <f>+D326*E326</f>
        <v>8000</v>
      </c>
    </row>
    <row r="327" spans="1:6">
      <c r="A327" s="317"/>
      <c r="B327" s="318" t="s">
        <v>39</v>
      </c>
      <c r="C327" s="244"/>
      <c r="D327" s="196"/>
      <c r="E327" s="197"/>
      <c r="F327" s="198">
        <f>SUM(F325:F326)</f>
        <v>11044</v>
      </c>
    </row>
    <row r="328" spans="1:6" s="347" customFormat="1" ht="36.5">
      <c r="A328" s="345"/>
      <c r="B328" s="477" t="s">
        <v>179</v>
      </c>
      <c r="C328" s="477"/>
      <c r="D328" s="477"/>
      <c r="E328" s="477"/>
      <c r="F328" s="346">
        <f>F319+F308+F290+F277+F260+F248+F236+F217+F197+F183+F172+F160+F147+F136+F125+F112+F100+F89+F78+F58+F40+F30+F22+F14+F7+F3</f>
        <v>4818499.4867303222</v>
      </c>
    </row>
  </sheetData>
  <mergeCells count="15">
    <mergeCell ref="B328:E328"/>
    <mergeCell ref="B77:F77"/>
    <mergeCell ref="B2:F2"/>
    <mergeCell ref="B124:F124"/>
    <mergeCell ref="B289:F289"/>
    <mergeCell ref="B307:F307"/>
    <mergeCell ref="B318:F318"/>
    <mergeCell ref="B247:F247"/>
    <mergeCell ref="B13:F13"/>
    <mergeCell ref="B39:F39"/>
    <mergeCell ref="B159:F159"/>
    <mergeCell ref="B182:F182"/>
    <mergeCell ref="B196:F196"/>
    <mergeCell ref="B216:F216"/>
    <mergeCell ref="B276:F27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6"/>
  <sheetViews>
    <sheetView workbookViewId="0">
      <selection activeCell="E110" sqref="E110"/>
    </sheetView>
  </sheetViews>
  <sheetFormatPr defaultColWidth="8.90625" defaultRowHeight="14.5"/>
  <cols>
    <col min="1" max="1" width="8.90625" style="355"/>
    <col min="2" max="2" width="56.453125" style="210" customWidth="1"/>
    <col min="3" max="3" width="10.90625" style="70" customWidth="1"/>
    <col min="4" max="4" width="15.90625" style="142" customWidth="1"/>
    <col min="5" max="5" width="18.36328125" style="344" customWidth="1"/>
    <col min="6" max="6" width="28.08984375" style="344" customWidth="1"/>
    <col min="8" max="8" width="11" bestFit="1" customWidth="1"/>
  </cols>
  <sheetData>
    <row r="1" spans="1:8" s="227" customFormat="1" ht="30.65" customHeight="1">
      <c r="A1" s="402"/>
      <c r="B1" s="150" t="s">
        <v>120</v>
      </c>
      <c r="C1" s="150" t="s">
        <v>121</v>
      </c>
      <c r="D1" s="325" t="s">
        <v>122</v>
      </c>
      <c r="E1" s="303" t="s">
        <v>123</v>
      </c>
      <c r="F1" s="305" t="s">
        <v>124</v>
      </c>
    </row>
    <row r="2" spans="1:8" s="82" customFormat="1" ht="19.5">
      <c r="A2" s="417">
        <v>1</v>
      </c>
      <c r="B2" s="491" t="s">
        <v>178</v>
      </c>
      <c r="C2" s="492"/>
      <c r="D2" s="492"/>
      <c r="E2" s="493"/>
      <c r="F2" s="460">
        <f>F4+F14+F35+F45</f>
        <v>9328366.4718549903</v>
      </c>
    </row>
    <row r="3" spans="1:8" s="82" customFormat="1" ht="21.5">
      <c r="A3" s="426"/>
      <c r="B3" s="500" t="s">
        <v>163</v>
      </c>
      <c r="C3" s="500"/>
      <c r="D3" s="500"/>
      <c r="E3" s="500"/>
      <c r="F3" s="501"/>
    </row>
    <row r="4" spans="1:8" s="264" customFormat="1" ht="19.399999999999999" customHeight="1">
      <c r="A4" s="427">
        <v>1.01</v>
      </c>
      <c r="B4" s="16" t="s">
        <v>142</v>
      </c>
      <c r="C4" s="3" t="s">
        <v>50</v>
      </c>
      <c r="D4" s="117">
        <f>((3.2*22)*2)+(25.175)</f>
        <v>165.97500000000002</v>
      </c>
      <c r="E4" s="134">
        <f>F4/D4</f>
        <v>10952.337853107347</v>
      </c>
      <c r="F4" s="160">
        <f>(F9+F13)</f>
        <v>1817814.2751694922</v>
      </c>
    </row>
    <row r="5" spans="1:8" ht="19.399999999999999" customHeight="1">
      <c r="A5" s="428"/>
      <c r="B5" s="260" t="s">
        <v>136</v>
      </c>
      <c r="C5" s="258"/>
      <c r="D5" s="118"/>
      <c r="E5" s="327"/>
      <c r="F5" s="429"/>
    </row>
    <row r="6" spans="1:8" ht="19.399999999999999" customHeight="1">
      <c r="A6" s="428"/>
      <c r="B6" s="257" t="s">
        <v>144</v>
      </c>
      <c r="C6" s="258" t="s">
        <v>1</v>
      </c>
      <c r="D6" s="335">
        <f>D4*1.03</f>
        <v>170.95425000000003</v>
      </c>
      <c r="E6" s="328">
        <f>11000/1.18</f>
        <v>9322.033898305086</v>
      </c>
      <c r="F6" s="430">
        <f>D6*E6</f>
        <v>1593641.3135593226</v>
      </c>
    </row>
    <row r="7" spans="1:8" ht="19.399999999999999" customHeight="1">
      <c r="A7" s="428"/>
      <c r="B7" s="257" t="s">
        <v>137</v>
      </c>
      <c r="C7" s="258" t="s">
        <v>138</v>
      </c>
      <c r="D7" s="335">
        <f>D4/100</f>
        <v>1.6597500000000003</v>
      </c>
      <c r="E7" s="328">
        <f>15000/1.18</f>
        <v>12711.864406779661</v>
      </c>
      <c r="F7" s="430">
        <f>D7*E7</f>
        <v>21098.516949152545</v>
      </c>
    </row>
    <row r="8" spans="1:8" s="55" customFormat="1" ht="19.399999999999999" customHeight="1">
      <c r="A8" s="428"/>
      <c r="B8" s="257" t="s">
        <v>139</v>
      </c>
      <c r="C8" s="258" t="s">
        <v>140</v>
      </c>
      <c r="D8" s="335">
        <f>D4/80</f>
        <v>2.0746875000000005</v>
      </c>
      <c r="E8" s="328">
        <f>21000/1.18</f>
        <v>17796.610169491527</v>
      </c>
      <c r="F8" s="430">
        <f>D8*E8</f>
        <v>36922.404661016961</v>
      </c>
    </row>
    <row r="9" spans="1:8" ht="19.399999999999999" customHeight="1">
      <c r="A9" s="428"/>
      <c r="B9" s="260" t="s">
        <v>5</v>
      </c>
      <c r="C9" s="258"/>
      <c r="D9" s="335"/>
      <c r="E9" s="328"/>
      <c r="F9" s="431">
        <f>SUM(F6:F8)</f>
        <v>1651662.2351694922</v>
      </c>
    </row>
    <row r="10" spans="1:8" ht="19.399999999999999" customHeight="1">
      <c r="A10" s="403"/>
      <c r="B10" s="97" t="s">
        <v>6</v>
      </c>
      <c r="C10" s="23"/>
      <c r="D10" s="118"/>
      <c r="E10" s="133"/>
      <c r="F10" s="292"/>
    </row>
    <row r="11" spans="1:8" ht="19.399999999999999" customHeight="1">
      <c r="A11" s="403"/>
      <c r="B11" s="98" t="s">
        <v>90</v>
      </c>
      <c r="C11" s="23" t="s">
        <v>21</v>
      </c>
      <c r="D11" s="118">
        <f>D4/15</f>
        <v>11.065000000000001</v>
      </c>
      <c r="E11" s="133">
        <v>7016</v>
      </c>
      <c r="F11" s="292">
        <f>D11*E11</f>
        <v>77632.040000000008</v>
      </c>
    </row>
    <row r="12" spans="1:8" ht="19.399999999999999" customHeight="1">
      <c r="A12" s="403"/>
      <c r="B12" s="98" t="s">
        <v>25</v>
      </c>
      <c r="C12" s="23" t="s">
        <v>21</v>
      </c>
      <c r="D12" s="118">
        <f>D11*2</f>
        <v>22.130000000000003</v>
      </c>
      <c r="E12" s="133">
        <v>4000</v>
      </c>
      <c r="F12" s="292">
        <f>D12*E12</f>
        <v>88520.000000000015</v>
      </c>
      <c r="H12" s="55"/>
    </row>
    <row r="13" spans="1:8" s="55" customFormat="1" ht="19.399999999999999" customHeight="1">
      <c r="A13" s="404"/>
      <c r="B13" s="11" t="s">
        <v>9</v>
      </c>
      <c r="C13" s="28"/>
      <c r="D13" s="122"/>
      <c r="E13" s="135"/>
      <c r="F13" s="293">
        <f>SUM(F11:F12)</f>
        <v>166152.04000000004</v>
      </c>
      <c r="H13"/>
    </row>
    <row r="14" spans="1:8" ht="18">
      <c r="A14" s="405">
        <v>1.02</v>
      </c>
      <c r="B14" s="16" t="s">
        <v>147</v>
      </c>
      <c r="C14" s="3" t="s">
        <v>148</v>
      </c>
      <c r="D14" s="117">
        <f>420+80</f>
        <v>500</v>
      </c>
      <c r="E14" s="134">
        <f>F14/D14</f>
        <v>7079.7175141242933</v>
      </c>
      <c r="F14" s="160">
        <f>F23+F33+F28</f>
        <v>3539858.7570621464</v>
      </c>
    </row>
    <row r="15" spans="1:8" ht="18">
      <c r="A15" s="404"/>
      <c r="B15" s="260" t="s">
        <v>149</v>
      </c>
      <c r="C15" s="258"/>
      <c r="D15" s="118"/>
      <c r="E15" s="327"/>
      <c r="F15" s="429"/>
    </row>
    <row r="16" spans="1:8" ht="18">
      <c r="A16" s="406"/>
      <c r="B16" s="257" t="s">
        <v>150</v>
      </c>
      <c r="C16" s="258" t="s">
        <v>151</v>
      </c>
      <c r="D16" s="335">
        <f>(D14/6)*1.2</f>
        <v>99.999999999999986</v>
      </c>
      <c r="E16" s="328">
        <v>25000</v>
      </c>
      <c r="F16" s="430">
        <f t="shared" ref="F16:F22" si="0">D16*E16</f>
        <v>2499999.9999999995</v>
      </c>
    </row>
    <row r="17" spans="1:8" ht="18">
      <c r="A17" s="406"/>
      <c r="B17" s="257" t="s">
        <v>152</v>
      </c>
      <c r="C17" s="258" t="s">
        <v>151</v>
      </c>
      <c r="D17" s="259">
        <f>(D16)/5</f>
        <v>19.999999999999996</v>
      </c>
      <c r="E17" s="328">
        <v>6000</v>
      </c>
      <c r="F17" s="430">
        <f t="shared" si="0"/>
        <v>119999.99999999999</v>
      </c>
    </row>
    <row r="18" spans="1:8" ht="18">
      <c r="A18" s="406"/>
      <c r="B18" s="257" t="s">
        <v>153</v>
      </c>
      <c r="C18" s="258" t="s">
        <v>154</v>
      </c>
      <c r="D18" s="259">
        <f>(D17)/5</f>
        <v>3.9999999999999991</v>
      </c>
      <c r="E18" s="328">
        <f>7000/1.18</f>
        <v>5932.203389830509</v>
      </c>
      <c r="F18" s="430">
        <f t="shared" si="0"/>
        <v>23728.813559322032</v>
      </c>
    </row>
    <row r="19" spans="1:8" ht="18">
      <c r="A19" s="403"/>
      <c r="B19" s="257" t="s">
        <v>155</v>
      </c>
      <c r="C19" s="258" t="s">
        <v>4</v>
      </c>
      <c r="D19" s="259">
        <f>(D16)/5</f>
        <v>19.999999999999996</v>
      </c>
      <c r="E19" s="328">
        <f>12000/4</f>
        <v>3000</v>
      </c>
      <c r="F19" s="430">
        <f t="shared" si="0"/>
        <v>59999.999999999993</v>
      </c>
    </row>
    <row r="20" spans="1:8" ht="18">
      <c r="A20" s="403"/>
      <c r="B20" s="257" t="s">
        <v>156</v>
      </c>
      <c r="C20" s="258" t="s">
        <v>4</v>
      </c>
      <c r="D20" s="259">
        <f>(D16)/5</f>
        <v>19.999999999999996</v>
      </c>
      <c r="E20" s="328">
        <f>19000/4</f>
        <v>4750</v>
      </c>
      <c r="F20" s="430">
        <f t="shared" si="0"/>
        <v>94999.999999999985</v>
      </c>
    </row>
    <row r="21" spans="1:8" ht="18">
      <c r="A21" s="403"/>
      <c r="B21" s="257" t="s">
        <v>157</v>
      </c>
      <c r="C21" s="258" t="s">
        <v>4</v>
      </c>
      <c r="D21" s="259">
        <f>D16/2</f>
        <v>49.999999999999993</v>
      </c>
      <c r="E21" s="328">
        <f>8000/1.18</f>
        <v>6779.6610169491532</v>
      </c>
      <c r="F21" s="430">
        <f t="shared" si="0"/>
        <v>338983.05084745761</v>
      </c>
    </row>
    <row r="22" spans="1:8" ht="18">
      <c r="A22" s="404"/>
      <c r="B22" s="257" t="s">
        <v>158</v>
      </c>
      <c r="C22" s="258" t="s">
        <v>159</v>
      </c>
      <c r="D22" s="259">
        <f>D16/30</f>
        <v>3.333333333333333</v>
      </c>
      <c r="E22" s="328">
        <f>22000/1.18</f>
        <v>18644.067796610172</v>
      </c>
      <c r="F22" s="430">
        <f t="shared" si="0"/>
        <v>62146.892655367235</v>
      </c>
    </row>
    <row r="23" spans="1:8" ht="19.5">
      <c r="A23" s="432"/>
      <c r="B23" s="260" t="s">
        <v>5</v>
      </c>
      <c r="C23" s="268"/>
      <c r="D23" s="269"/>
      <c r="E23" s="329"/>
      <c r="F23" s="431">
        <f>SUM(F16:F22)</f>
        <v>3199858.7570621464</v>
      </c>
    </row>
    <row r="24" spans="1:8" ht="15.5">
      <c r="A24" s="433"/>
      <c r="B24" s="257"/>
      <c r="C24" s="258"/>
      <c r="D24" s="259"/>
      <c r="E24" s="328"/>
      <c r="F24" s="430"/>
    </row>
    <row r="25" spans="1:8" ht="16.5">
      <c r="A25" s="433"/>
      <c r="B25" s="260" t="s">
        <v>141</v>
      </c>
      <c r="C25" s="258"/>
      <c r="D25" s="259"/>
      <c r="E25" s="328"/>
      <c r="F25" s="430"/>
    </row>
    <row r="26" spans="1:8" ht="15.5">
      <c r="A26" s="433"/>
      <c r="B26" s="95" t="s">
        <v>160</v>
      </c>
      <c r="C26" s="258" t="s">
        <v>62</v>
      </c>
      <c r="D26" s="259">
        <f>D31</f>
        <v>6.6666666666666661</v>
      </c>
      <c r="E26" s="328">
        <v>30000</v>
      </c>
      <c r="F26" s="430">
        <f>D26*E26</f>
        <v>199999.99999999997</v>
      </c>
    </row>
    <row r="27" spans="1:8" ht="15.5">
      <c r="A27" s="433"/>
      <c r="B27" s="48" t="s">
        <v>161</v>
      </c>
      <c r="C27" s="258" t="s">
        <v>62</v>
      </c>
      <c r="D27" s="259">
        <f>D26</f>
        <v>6.6666666666666661</v>
      </c>
      <c r="E27" s="328">
        <v>5000</v>
      </c>
      <c r="F27" s="430">
        <f>D27*E27</f>
        <v>33333.333333333328</v>
      </c>
      <c r="H27" s="63"/>
    </row>
    <row r="28" spans="1:8" s="63" customFormat="1" ht="16.5">
      <c r="A28" s="434"/>
      <c r="B28" s="60" t="s">
        <v>173</v>
      </c>
      <c r="C28" s="268"/>
      <c r="D28" s="269"/>
      <c r="E28" s="329"/>
      <c r="F28" s="431">
        <f>F26+F27</f>
        <v>233333.33333333331</v>
      </c>
      <c r="H28"/>
    </row>
    <row r="29" spans="1:8" ht="15.5">
      <c r="A29" s="433"/>
      <c r="B29" s="435"/>
      <c r="C29" s="311"/>
      <c r="D29" s="323"/>
      <c r="E29" s="313"/>
      <c r="F29" s="314"/>
    </row>
    <row r="30" spans="1:8" ht="16.5">
      <c r="A30" s="433"/>
      <c r="B30" s="97" t="s">
        <v>6</v>
      </c>
      <c r="C30" s="23"/>
      <c r="D30" s="118"/>
      <c r="E30" s="133"/>
      <c r="F30" s="292"/>
    </row>
    <row r="31" spans="1:8" ht="15.5">
      <c r="A31" s="433"/>
      <c r="B31" s="98" t="s">
        <v>162</v>
      </c>
      <c r="C31" s="23" t="s">
        <v>21</v>
      </c>
      <c r="D31" s="118">
        <f>D16/15</f>
        <v>6.6666666666666661</v>
      </c>
      <c r="E31" s="133">
        <v>8000</v>
      </c>
      <c r="F31" s="292">
        <f>D31*E31</f>
        <v>53333.333333333328</v>
      </c>
    </row>
    <row r="32" spans="1:8" ht="15.5">
      <c r="A32" s="433"/>
      <c r="B32" s="98" t="s">
        <v>25</v>
      </c>
      <c r="C32" s="23" t="s">
        <v>21</v>
      </c>
      <c r="D32" s="118">
        <f>D31*2</f>
        <v>13.333333333333332</v>
      </c>
      <c r="E32" s="133">
        <v>4000</v>
      </c>
      <c r="F32" s="292">
        <f>D32*E32</f>
        <v>53333.333333333328</v>
      </c>
    </row>
    <row r="33" spans="1:6" ht="16.5">
      <c r="A33" s="433"/>
      <c r="B33" s="11" t="s">
        <v>9</v>
      </c>
      <c r="C33" s="28"/>
      <c r="D33" s="122"/>
      <c r="E33" s="135"/>
      <c r="F33" s="293">
        <f>SUM(F31:F32)</f>
        <v>106666.66666666666</v>
      </c>
    </row>
    <row r="34" spans="1:6" ht="21.5">
      <c r="A34" s="433"/>
      <c r="B34" s="502" t="s">
        <v>164</v>
      </c>
      <c r="C34" s="502"/>
      <c r="D34" s="502"/>
      <c r="E34" s="502"/>
      <c r="F34" s="503"/>
    </row>
    <row r="35" spans="1:6" ht="18">
      <c r="A35" s="427">
        <v>1.03</v>
      </c>
      <c r="B35" s="16" t="s">
        <v>142</v>
      </c>
      <c r="C35" s="3" t="s">
        <v>50</v>
      </c>
      <c r="D35" s="117">
        <f>(4.6*13)*2</f>
        <v>119.6</v>
      </c>
      <c r="E35" s="134">
        <f>F35/D35</f>
        <v>10952.337853107347</v>
      </c>
      <c r="F35" s="160">
        <f>(F40+F44)</f>
        <v>1309899.6072316386</v>
      </c>
    </row>
    <row r="36" spans="1:6" ht="18">
      <c r="A36" s="428"/>
      <c r="B36" s="260" t="s">
        <v>136</v>
      </c>
      <c r="C36" s="258"/>
      <c r="D36" s="118"/>
      <c r="E36" s="327"/>
      <c r="F36" s="429"/>
    </row>
    <row r="37" spans="1:6" ht="18">
      <c r="A37" s="428"/>
      <c r="B37" s="257" t="s">
        <v>144</v>
      </c>
      <c r="C37" s="258" t="s">
        <v>1</v>
      </c>
      <c r="D37" s="335">
        <f>D35*1.03</f>
        <v>123.188</v>
      </c>
      <c r="E37" s="328">
        <f>11000/1.18</f>
        <v>9322.033898305086</v>
      </c>
      <c r="F37" s="430">
        <f>D37*E37</f>
        <v>1148362.7118644069</v>
      </c>
    </row>
    <row r="38" spans="1:6" ht="18">
      <c r="A38" s="428"/>
      <c r="B38" s="257" t="s">
        <v>137</v>
      </c>
      <c r="C38" s="258" t="s">
        <v>138</v>
      </c>
      <c r="D38" s="335">
        <f>D35/100</f>
        <v>1.196</v>
      </c>
      <c r="E38" s="328">
        <f>15000/1.18</f>
        <v>12711.864406779661</v>
      </c>
      <c r="F38" s="430">
        <f>D38*E38</f>
        <v>15203.389830508475</v>
      </c>
    </row>
    <row r="39" spans="1:6" ht="18">
      <c r="A39" s="428"/>
      <c r="B39" s="257" t="s">
        <v>139</v>
      </c>
      <c r="C39" s="258" t="s">
        <v>140</v>
      </c>
      <c r="D39" s="335">
        <f>D35/80</f>
        <v>1.4949999999999999</v>
      </c>
      <c r="E39" s="328">
        <f>21000/1.18</f>
        <v>17796.610169491527</v>
      </c>
      <c r="F39" s="430">
        <f>D39*E39</f>
        <v>26605.932203389832</v>
      </c>
    </row>
    <row r="40" spans="1:6" ht="18">
      <c r="A40" s="428"/>
      <c r="B40" s="260" t="s">
        <v>5</v>
      </c>
      <c r="C40" s="258"/>
      <c r="D40" s="335"/>
      <c r="E40" s="328"/>
      <c r="F40" s="431">
        <f>SUM(F37:F39)</f>
        <v>1190172.0338983054</v>
      </c>
    </row>
    <row r="41" spans="1:6" ht="18">
      <c r="A41" s="403"/>
      <c r="B41" s="97" t="s">
        <v>6</v>
      </c>
      <c r="C41" s="23"/>
      <c r="D41" s="118"/>
      <c r="E41" s="133"/>
      <c r="F41" s="292"/>
    </row>
    <row r="42" spans="1:6" ht="18">
      <c r="A42" s="403"/>
      <c r="B42" s="98" t="s">
        <v>90</v>
      </c>
      <c r="C42" s="23" t="s">
        <v>21</v>
      </c>
      <c r="D42" s="118">
        <f>D35/15</f>
        <v>7.9733333333333327</v>
      </c>
      <c r="E42" s="133">
        <v>7016</v>
      </c>
      <c r="F42" s="292">
        <f>D42*E42</f>
        <v>55940.906666666662</v>
      </c>
    </row>
    <row r="43" spans="1:6" ht="18">
      <c r="A43" s="403"/>
      <c r="B43" s="98" t="s">
        <v>25</v>
      </c>
      <c r="C43" s="23" t="s">
        <v>21</v>
      </c>
      <c r="D43" s="118">
        <f>D42*2</f>
        <v>15.946666666666665</v>
      </c>
      <c r="E43" s="133">
        <v>4000</v>
      </c>
      <c r="F43" s="292">
        <f>D43*E43</f>
        <v>63786.666666666664</v>
      </c>
    </row>
    <row r="44" spans="1:6" ht="18">
      <c r="A44" s="404"/>
      <c r="B44" s="11" t="s">
        <v>9</v>
      </c>
      <c r="C44" s="28"/>
      <c r="D44" s="122"/>
      <c r="E44" s="135"/>
      <c r="F44" s="293">
        <f>SUM(F42:F43)</f>
        <v>119727.57333333333</v>
      </c>
    </row>
    <row r="45" spans="1:6" ht="18">
      <c r="A45" s="405">
        <v>1.04</v>
      </c>
      <c r="B45" s="16" t="s">
        <v>147</v>
      </c>
      <c r="C45" s="3" t="s">
        <v>148</v>
      </c>
      <c r="D45" s="117">
        <f>260+150</f>
        <v>410</v>
      </c>
      <c r="E45" s="134">
        <f>F45/D45</f>
        <v>6489.7410546139372</v>
      </c>
      <c r="F45" s="160">
        <f>F54+F59+F64</f>
        <v>2660793.8323917142</v>
      </c>
    </row>
    <row r="46" spans="1:6" ht="18">
      <c r="A46" s="404"/>
      <c r="B46" s="260" t="s">
        <v>149</v>
      </c>
      <c r="C46" s="258"/>
      <c r="D46" s="118"/>
      <c r="E46" s="327"/>
      <c r="F46" s="429"/>
    </row>
    <row r="47" spans="1:6" ht="18">
      <c r="A47" s="406"/>
      <c r="B47" s="257" t="s">
        <v>150</v>
      </c>
      <c r="C47" s="258" t="s">
        <v>151</v>
      </c>
      <c r="D47" s="335">
        <f>(D45/6)*1.1</f>
        <v>75.166666666666671</v>
      </c>
      <c r="E47" s="328">
        <v>25000</v>
      </c>
      <c r="F47" s="430">
        <f t="shared" ref="F47:F53" si="1">D47*E47</f>
        <v>1879166.6666666667</v>
      </c>
    </row>
    <row r="48" spans="1:6" ht="18">
      <c r="A48" s="406"/>
      <c r="B48" s="257" t="s">
        <v>152</v>
      </c>
      <c r="C48" s="258" t="s">
        <v>151</v>
      </c>
      <c r="D48" s="259">
        <f>(D47)/5</f>
        <v>15.033333333333335</v>
      </c>
      <c r="E48" s="328">
        <v>6000</v>
      </c>
      <c r="F48" s="430">
        <f t="shared" si="1"/>
        <v>90200.000000000015</v>
      </c>
    </row>
    <row r="49" spans="1:8" ht="18">
      <c r="A49" s="406"/>
      <c r="B49" s="257" t="s">
        <v>153</v>
      </c>
      <c r="C49" s="258" t="s">
        <v>154</v>
      </c>
      <c r="D49" s="259">
        <f>(D48)/5</f>
        <v>3.0066666666666668</v>
      </c>
      <c r="E49" s="328">
        <f>7000/1.18</f>
        <v>5932.203389830509</v>
      </c>
      <c r="F49" s="430">
        <f t="shared" si="1"/>
        <v>17836.158192090399</v>
      </c>
    </row>
    <row r="50" spans="1:8" ht="18">
      <c r="A50" s="403"/>
      <c r="B50" s="257" t="s">
        <v>155</v>
      </c>
      <c r="C50" s="258" t="s">
        <v>4</v>
      </c>
      <c r="D50" s="259">
        <f>(D47)/5</f>
        <v>15.033333333333335</v>
      </c>
      <c r="E50" s="328">
        <f>12000/4</f>
        <v>3000</v>
      </c>
      <c r="F50" s="430">
        <f t="shared" si="1"/>
        <v>45100.000000000007</v>
      </c>
    </row>
    <row r="51" spans="1:8" ht="18">
      <c r="A51" s="403"/>
      <c r="B51" s="257" t="s">
        <v>156</v>
      </c>
      <c r="C51" s="258" t="s">
        <v>4</v>
      </c>
      <c r="D51" s="259">
        <f>(D47)/5</f>
        <v>15.033333333333335</v>
      </c>
      <c r="E51" s="328">
        <f>19000/4</f>
        <v>4750</v>
      </c>
      <c r="F51" s="430">
        <f t="shared" si="1"/>
        <v>71408.333333333343</v>
      </c>
    </row>
    <row r="52" spans="1:8" ht="18">
      <c r="A52" s="403"/>
      <c r="B52" s="257" t="s">
        <v>157</v>
      </c>
      <c r="C52" s="258" t="s">
        <v>4</v>
      </c>
      <c r="D52" s="259">
        <f>D47/2</f>
        <v>37.583333333333336</v>
      </c>
      <c r="E52" s="328">
        <f>8000/1.18</f>
        <v>6779.6610169491532</v>
      </c>
      <c r="F52" s="430">
        <f t="shared" si="1"/>
        <v>254802.2598870057</v>
      </c>
    </row>
    <row r="53" spans="1:8" ht="18">
      <c r="A53" s="404"/>
      <c r="B53" s="257" t="s">
        <v>158</v>
      </c>
      <c r="C53" s="258" t="s">
        <v>159</v>
      </c>
      <c r="D53" s="259">
        <f>D47/30</f>
        <v>2.5055555555555555</v>
      </c>
      <c r="E53" s="328">
        <f>22000/1.18</f>
        <v>18644.067796610172</v>
      </c>
      <c r="F53" s="430">
        <f t="shared" si="1"/>
        <v>46713.747645951044</v>
      </c>
    </row>
    <row r="54" spans="1:8" ht="19.5">
      <c r="A54" s="432"/>
      <c r="B54" s="260" t="s">
        <v>5</v>
      </c>
      <c r="C54" s="268"/>
      <c r="D54" s="269"/>
      <c r="E54" s="329"/>
      <c r="F54" s="431">
        <f>SUM(F47:F53)</f>
        <v>2405227.1657250472</v>
      </c>
    </row>
    <row r="55" spans="1:8" ht="15.5">
      <c r="A55" s="433"/>
      <c r="B55" s="257"/>
      <c r="C55" s="258"/>
      <c r="D55" s="259"/>
      <c r="E55" s="328"/>
      <c r="F55" s="430"/>
    </row>
    <row r="56" spans="1:8" ht="16.5">
      <c r="A56" s="433"/>
      <c r="B56" s="260" t="s">
        <v>141</v>
      </c>
      <c r="C56" s="258"/>
      <c r="D56" s="259"/>
      <c r="E56" s="328"/>
      <c r="F56" s="430"/>
    </row>
    <row r="57" spans="1:8" ht="15.5">
      <c r="A57" s="433"/>
      <c r="B57" s="95" t="s">
        <v>160</v>
      </c>
      <c r="C57" s="258" t="s">
        <v>62</v>
      </c>
      <c r="D57" s="259">
        <f>D62</f>
        <v>5.0111111111111111</v>
      </c>
      <c r="E57" s="328">
        <v>30000</v>
      </c>
      <c r="F57" s="430">
        <f>D57*E57</f>
        <v>150333.33333333334</v>
      </c>
    </row>
    <row r="58" spans="1:8" ht="15.5">
      <c r="A58" s="433"/>
      <c r="B58" s="48" t="s">
        <v>161</v>
      </c>
      <c r="C58" s="258" t="s">
        <v>62</v>
      </c>
      <c r="D58" s="259">
        <f>D57</f>
        <v>5.0111111111111111</v>
      </c>
      <c r="E58" s="328">
        <v>5000</v>
      </c>
      <c r="F58" s="430">
        <f>D58*E58</f>
        <v>25055.555555555555</v>
      </c>
      <c r="H58" s="63"/>
    </row>
    <row r="59" spans="1:8" s="63" customFormat="1" ht="16.5">
      <c r="A59" s="434"/>
      <c r="B59" s="60" t="s">
        <v>173</v>
      </c>
      <c r="C59" s="268"/>
      <c r="D59" s="269"/>
      <c r="E59" s="329"/>
      <c r="F59" s="431">
        <f>F57+F58</f>
        <v>175388.88888888891</v>
      </c>
      <c r="H59"/>
    </row>
    <row r="60" spans="1:8" ht="15.5">
      <c r="A60" s="433"/>
      <c r="B60" s="435"/>
      <c r="C60" s="311"/>
      <c r="D60" s="323"/>
      <c r="E60" s="313"/>
      <c r="F60" s="314"/>
    </row>
    <row r="61" spans="1:8" ht="16.5">
      <c r="A61" s="433"/>
      <c r="B61" s="97" t="s">
        <v>6</v>
      </c>
      <c r="C61" s="23"/>
      <c r="D61" s="118"/>
      <c r="E61" s="133"/>
      <c r="F61" s="292"/>
    </row>
    <row r="62" spans="1:8" ht="15.5">
      <c r="A62" s="433"/>
      <c r="B62" s="98" t="s">
        <v>162</v>
      </c>
      <c r="C62" s="23" t="s">
        <v>21</v>
      </c>
      <c r="D62" s="118">
        <f>D47/15</f>
        <v>5.0111111111111111</v>
      </c>
      <c r="E62" s="133">
        <v>8000</v>
      </c>
      <c r="F62" s="292">
        <f>D62*E62</f>
        <v>40088.888888888891</v>
      </c>
    </row>
    <row r="63" spans="1:8" ht="15.5">
      <c r="A63" s="433"/>
      <c r="B63" s="98" t="s">
        <v>25</v>
      </c>
      <c r="C63" s="23" t="s">
        <v>21</v>
      </c>
      <c r="D63" s="118">
        <f>D62*2</f>
        <v>10.022222222222222</v>
      </c>
      <c r="E63" s="133">
        <v>4000</v>
      </c>
      <c r="F63" s="292">
        <f>D63*E63</f>
        <v>40088.888888888891</v>
      </c>
    </row>
    <row r="64" spans="1:8" ht="16.5">
      <c r="A64" s="433"/>
      <c r="B64" s="11" t="s">
        <v>9</v>
      </c>
      <c r="C64" s="28"/>
      <c r="D64" s="122"/>
      <c r="E64" s="135"/>
      <c r="F64" s="293">
        <f>SUM(F62:F63)</f>
        <v>80177.777777777781</v>
      </c>
    </row>
    <row r="65" spans="1:9" ht="16.5">
      <c r="A65" s="433"/>
      <c r="B65" s="11"/>
      <c r="C65" s="28"/>
      <c r="D65" s="122"/>
      <c r="E65" s="135"/>
      <c r="F65" s="293"/>
    </row>
    <row r="66" spans="1:9" ht="19.5">
      <c r="A66" s="436">
        <v>2</v>
      </c>
      <c r="B66" s="494" t="s">
        <v>177</v>
      </c>
      <c r="C66" s="495"/>
      <c r="D66" s="495"/>
      <c r="E66" s="496"/>
      <c r="F66" s="461">
        <f>F68+F80</f>
        <v>6322455.6580037661</v>
      </c>
    </row>
    <row r="67" spans="1:9" ht="21.5">
      <c r="A67" s="436"/>
      <c r="B67" s="500" t="s">
        <v>163</v>
      </c>
      <c r="C67" s="500"/>
      <c r="D67" s="500"/>
      <c r="E67" s="500"/>
      <c r="F67" s="501"/>
    </row>
    <row r="68" spans="1:9" ht="20.399999999999999" customHeight="1">
      <c r="A68" s="437">
        <v>2.0099999999999998</v>
      </c>
      <c r="B68" s="2" t="s">
        <v>176</v>
      </c>
      <c r="C68" s="263" t="s">
        <v>1</v>
      </c>
      <c r="D68" s="336">
        <f>(22*6)+(5*6)</f>
        <v>162</v>
      </c>
      <c r="E68" s="340">
        <f>F68/D68</f>
        <v>23514.782997040624</v>
      </c>
      <c r="F68" s="438">
        <f>F73+F78</f>
        <v>3809394.8455205811</v>
      </c>
    </row>
    <row r="69" spans="1:9" ht="18">
      <c r="A69" s="439"/>
      <c r="B69" s="97" t="s">
        <v>2</v>
      </c>
      <c r="C69" s="333"/>
      <c r="D69" s="337"/>
      <c r="E69" s="341"/>
      <c r="F69" s="440"/>
    </row>
    <row r="70" spans="1:9" ht="18">
      <c r="A70" s="441"/>
      <c r="B70" s="98" t="s">
        <v>186</v>
      </c>
      <c r="C70" s="23" t="s">
        <v>1</v>
      </c>
      <c r="D70" s="118">
        <f>D68*1.15</f>
        <v>186.29999999999998</v>
      </c>
      <c r="E70" s="133">
        <f>15500/1.18</f>
        <v>13135.593220338984</v>
      </c>
      <c r="F70" s="292">
        <f>E70*D70</f>
        <v>2447161.0169491526</v>
      </c>
    </row>
    <row r="71" spans="1:9" ht="18">
      <c r="A71" s="441"/>
      <c r="B71" s="98" t="s">
        <v>86</v>
      </c>
      <c r="C71" s="23" t="s">
        <v>44</v>
      </c>
      <c r="D71" s="118">
        <f>648/3.5</f>
        <v>185.14285714285714</v>
      </c>
      <c r="E71" s="133">
        <v>4000</v>
      </c>
      <c r="F71" s="292">
        <f>E71*D71</f>
        <v>740571.42857142852</v>
      </c>
      <c r="H71" s="46"/>
    </row>
    <row r="72" spans="1:9" ht="18">
      <c r="A72" s="441"/>
      <c r="B72" s="98" t="s">
        <v>87</v>
      </c>
      <c r="C72" s="23" t="s">
        <v>67</v>
      </c>
      <c r="D72" s="118">
        <f>D68*0.25</f>
        <v>40.5</v>
      </c>
      <c r="E72" s="133">
        <f>1500/1.18</f>
        <v>1271.1864406779662</v>
      </c>
      <c r="F72" s="292">
        <f>D72*E72</f>
        <v>51483.050847457627</v>
      </c>
      <c r="G72" s="425"/>
      <c r="I72" s="331"/>
    </row>
    <row r="73" spans="1:9" ht="18">
      <c r="A73" s="404"/>
      <c r="B73" s="97" t="s">
        <v>127</v>
      </c>
      <c r="C73" s="28"/>
      <c r="D73" s="121"/>
      <c r="E73" s="135"/>
      <c r="F73" s="293">
        <f>SUM(F70:F71)</f>
        <v>3187732.4455205812</v>
      </c>
    </row>
    <row r="74" spans="1:9" ht="18">
      <c r="A74" s="442"/>
      <c r="B74" s="332"/>
      <c r="C74" s="68"/>
      <c r="D74" s="121"/>
      <c r="E74" s="342"/>
      <c r="F74" s="443"/>
    </row>
    <row r="75" spans="1:9" ht="18">
      <c r="A75" s="442"/>
      <c r="B75" s="97" t="s">
        <v>6</v>
      </c>
      <c r="C75" s="333"/>
      <c r="D75" s="338"/>
      <c r="E75" s="341"/>
      <c r="F75" s="440"/>
    </row>
    <row r="76" spans="1:9" ht="18">
      <c r="A76" s="442"/>
      <c r="B76" s="257" t="s">
        <v>7</v>
      </c>
      <c r="C76" s="258" t="s">
        <v>62</v>
      </c>
      <c r="D76" s="259">
        <f>D77*2</f>
        <v>82.8</v>
      </c>
      <c r="E76" s="133">
        <v>4000</v>
      </c>
      <c r="F76" s="292">
        <f>D76*E76</f>
        <v>331200</v>
      </c>
    </row>
    <row r="77" spans="1:9" ht="18">
      <c r="A77" s="439"/>
      <c r="B77" s="257" t="s">
        <v>175</v>
      </c>
      <c r="C77" s="258" t="s">
        <v>62</v>
      </c>
      <c r="D77" s="259">
        <f>D70/4.5</f>
        <v>41.4</v>
      </c>
      <c r="E77" s="133">
        <v>7016</v>
      </c>
      <c r="F77" s="292">
        <f>D77*E77</f>
        <v>290462.39999999997</v>
      </c>
    </row>
    <row r="78" spans="1:9" ht="18">
      <c r="A78" s="444"/>
      <c r="B78" s="97" t="s">
        <v>129</v>
      </c>
      <c r="C78" s="334"/>
      <c r="D78" s="338"/>
      <c r="E78" s="343"/>
      <c r="F78" s="445">
        <f>SUM(F76:F77)</f>
        <v>621662.39999999991</v>
      </c>
    </row>
    <row r="79" spans="1:9" ht="21.5">
      <c r="A79" s="446"/>
      <c r="B79" s="502" t="s">
        <v>164</v>
      </c>
      <c r="C79" s="502"/>
      <c r="D79" s="502"/>
      <c r="E79" s="502"/>
      <c r="F79" s="503"/>
    </row>
    <row r="80" spans="1:9" ht="20.399999999999999" customHeight="1">
      <c r="A80" s="437">
        <v>2.02</v>
      </c>
      <c r="B80" s="2" t="s">
        <v>176</v>
      </c>
      <c r="C80" s="263" t="s">
        <v>50</v>
      </c>
      <c r="D80" s="336">
        <f>13*8</f>
        <v>104</v>
      </c>
      <c r="E80" s="340">
        <f>F80/D80</f>
        <v>24164.046273876782</v>
      </c>
      <c r="F80" s="438">
        <f>F85+F90</f>
        <v>2513060.8124831854</v>
      </c>
    </row>
    <row r="81" spans="1:9" ht="18">
      <c r="A81" s="439"/>
      <c r="B81" s="97" t="s">
        <v>2</v>
      </c>
      <c r="C81" s="333"/>
      <c r="D81" s="337"/>
      <c r="E81" s="341"/>
      <c r="F81" s="440"/>
    </row>
    <row r="82" spans="1:9" ht="18">
      <c r="A82" s="441"/>
      <c r="B82" s="98" t="s">
        <v>174</v>
      </c>
      <c r="C82" s="23" t="s">
        <v>1</v>
      </c>
      <c r="D82" s="118">
        <f>D80*1.15</f>
        <v>119.6</v>
      </c>
      <c r="E82" s="133">
        <f>15500/1.18</f>
        <v>13135.593220338984</v>
      </c>
      <c r="F82" s="292">
        <f>E82*D82</f>
        <v>1571016.9491525425</v>
      </c>
    </row>
    <row r="83" spans="1:9" ht="18">
      <c r="A83" s="441"/>
      <c r="B83" s="98" t="s">
        <v>86</v>
      </c>
      <c r="C83" s="23" t="s">
        <v>44</v>
      </c>
      <c r="D83" s="118">
        <f>416/3.5</f>
        <v>118.85714285714286</v>
      </c>
      <c r="E83" s="133">
        <v>4000</v>
      </c>
      <c r="F83" s="292">
        <f>E83*D83</f>
        <v>475428.57142857142</v>
      </c>
      <c r="H83" s="46"/>
    </row>
    <row r="84" spans="1:9" ht="18">
      <c r="A84" s="441"/>
      <c r="B84" s="98" t="s">
        <v>87</v>
      </c>
      <c r="C84" s="23" t="s">
        <v>67</v>
      </c>
      <c r="D84" s="118">
        <f>D80*0.25</f>
        <v>26</v>
      </c>
      <c r="E84" s="133">
        <f>1500/1.18</f>
        <v>1271.1864406779662</v>
      </c>
      <c r="F84" s="292">
        <f>D84*E84</f>
        <v>33050.847457627118</v>
      </c>
      <c r="G84" s="425"/>
      <c r="I84" s="331"/>
    </row>
    <row r="85" spans="1:9" ht="18">
      <c r="A85" s="404"/>
      <c r="B85" s="97" t="s">
        <v>127</v>
      </c>
      <c r="C85" s="28"/>
      <c r="D85" s="121"/>
      <c r="E85" s="135"/>
      <c r="F85" s="293">
        <f>SUM(F82:F84)</f>
        <v>2079496.3680387409</v>
      </c>
    </row>
    <row r="86" spans="1:9" ht="18">
      <c r="A86" s="442"/>
      <c r="B86" s="332"/>
      <c r="C86" s="68"/>
      <c r="D86" s="121"/>
      <c r="E86" s="342"/>
      <c r="F86" s="443"/>
    </row>
    <row r="87" spans="1:9" ht="18">
      <c r="A87" s="442"/>
      <c r="B87" s="97" t="s">
        <v>6</v>
      </c>
      <c r="C87" s="333"/>
      <c r="D87" s="338"/>
      <c r="E87" s="341"/>
      <c r="F87" s="440"/>
    </row>
    <row r="88" spans="1:9" ht="18">
      <c r="A88" s="442"/>
      <c r="B88" s="257" t="s">
        <v>7</v>
      </c>
      <c r="C88" s="258" t="s">
        <v>62</v>
      </c>
      <c r="D88" s="259">
        <f>D89*2</f>
        <v>46.222222222222221</v>
      </c>
      <c r="E88" s="133">
        <v>4000</v>
      </c>
      <c r="F88" s="292">
        <f>D88*E88</f>
        <v>184888.88888888888</v>
      </c>
    </row>
    <row r="89" spans="1:9" ht="18">
      <c r="A89" s="439"/>
      <c r="B89" s="257" t="s">
        <v>128</v>
      </c>
      <c r="C89" s="258" t="s">
        <v>62</v>
      </c>
      <c r="D89" s="259">
        <f>D80/4.5</f>
        <v>23.111111111111111</v>
      </c>
      <c r="E89" s="133">
        <v>10760</v>
      </c>
      <c r="F89" s="292">
        <f>D89*E89</f>
        <v>248675.55555555556</v>
      </c>
    </row>
    <row r="90" spans="1:9" ht="18">
      <c r="A90" s="444"/>
      <c r="B90" s="97" t="s">
        <v>129</v>
      </c>
      <c r="C90" s="334"/>
      <c r="D90" s="338"/>
      <c r="E90" s="343"/>
      <c r="F90" s="445">
        <f>SUM(F88:F89)</f>
        <v>433564.44444444444</v>
      </c>
    </row>
    <row r="91" spans="1:9" ht="16.649999999999999" customHeight="1">
      <c r="A91" s="447"/>
      <c r="B91" s="448"/>
      <c r="C91" s="449"/>
      <c r="D91" s="450"/>
      <c r="E91" s="451"/>
      <c r="F91" s="452"/>
      <c r="H91" s="82"/>
    </row>
    <row r="92" spans="1:9" s="82" customFormat="1" ht="21" customHeight="1">
      <c r="A92" s="417">
        <v>3</v>
      </c>
      <c r="B92" s="497" t="s">
        <v>217</v>
      </c>
      <c r="C92" s="498"/>
      <c r="D92" s="498"/>
      <c r="E92" s="499"/>
      <c r="F92" s="418">
        <f>F93+F107</f>
        <v>4821309.238700564</v>
      </c>
      <c r="H92" s="264"/>
    </row>
    <row r="93" spans="1:9" s="264" customFormat="1" ht="18">
      <c r="A93" s="419">
        <v>3.01</v>
      </c>
      <c r="B93" s="400" t="s">
        <v>200</v>
      </c>
      <c r="C93" s="407" t="s">
        <v>201</v>
      </c>
      <c r="D93" s="412">
        <f>250*0.05</f>
        <v>12.5</v>
      </c>
      <c r="E93" s="413">
        <f>F93/D93</f>
        <v>6124.1779661016944</v>
      </c>
      <c r="F93" s="420">
        <f>F97+F106</f>
        <v>76552.224576271183</v>
      </c>
      <c r="H93"/>
    </row>
    <row r="94" spans="1:9" ht="18">
      <c r="A94" s="421"/>
      <c r="B94" s="396" t="s">
        <v>2</v>
      </c>
      <c r="C94" s="399"/>
      <c r="D94" s="409"/>
      <c r="E94" s="414"/>
      <c r="F94" s="422"/>
    </row>
    <row r="95" spans="1:9" ht="18">
      <c r="A95" s="421"/>
      <c r="B95" s="397" t="s">
        <v>202</v>
      </c>
      <c r="C95" s="399" t="s">
        <v>16</v>
      </c>
      <c r="D95" s="409">
        <f>D100*20+D101*60+D102*15+D103*20+D104*60+D105*80</f>
        <v>10.458333333333334</v>
      </c>
      <c r="E95" s="414">
        <f>1609/1.18</f>
        <v>1363.5593220338983</v>
      </c>
      <c r="F95" s="423">
        <f>E95*D95</f>
        <v>14260.55790960452</v>
      </c>
    </row>
    <row r="96" spans="1:9" ht="18">
      <c r="A96" s="421"/>
      <c r="B96" s="397" t="s">
        <v>203</v>
      </c>
      <c r="C96" s="399" t="s">
        <v>10</v>
      </c>
      <c r="D96" s="409">
        <f>D93*1.3</f>
        <v>16.25</v>
      </c>
      <c r="E96" s="414">
        <v>2000</v>
      </c>
      <c r="F96" s="423">
        <f>E96*D96</f>
        <v>32500</v>
      </c>
    </row>
    <row r="97" spans="1:8" ht="19.5">
      <c r="A97" s="424"/>
      <c r="B97" s="396" t="s">
        <v>127</v>
      </c>
      <c r="C97" s="398"/>
      <c r="D97" s="410"/>
      <c r="E97" s="415"/>
      <c r="F97" s="422">
        <f>SUM(F95:F96)</f>
        <v>46760.557909604518</v>
      </c>
    </row>
    <row r="98" spans="1:8" ht="19.5">
      <c r="A98" s="424"/>
      <c r="B98" s="396"/>
      <c r="C98" s="398"/>
      <c r="D98" s="410"/>
      <c r="E98" s="415"/>
      <c r="F98" s="422"/>
    </row>
    <row r="99" spans="1:8" ht="18">
      <c r="A99" s="421"/>
      <c r="B99" s="396" t="s">
        <v>204</v>
      </c>
      <c r="C99" s="399"/>
      <c r="D99" s="409"/>
      <c r="E99" s="414"/>
      <c r="F99" s="423"/>
    </row>
    <row r="100" spans="1:8" ht="18">
      <c r="A100" s="421"/>
      <c r="B100" s="397" t="s">
        <v>205</v>
      </c>
      <c r="C100" s="399" t="s">
        <v>206</v>
      </c>
      <c r="D100" s="409">
        <f>(D93/600)*8</f>
        <v>0.16666666666666666</v>
      </c>
      <c r="E100" s="414">
        <v>60000</v>
      </c>
      <c r="F100" s="423">
        <f t="shared" ref="F100:F105" si="2">E100*D100</f>
        <v>10000</v>
      </c>
    </row>
    <row r="101" spans="1:8" ht="18">
      <c r="A101" s="421"/>
      <c r="B101" s="397" t="s">
        <v>207</v>
      </c>
      <c r="C101" s="399" t="s">
        <v>21</v>
      </c>
      <c r="D101" s="409">
        <f>(D93/(15*6)/25)*10</f>
        <v>5.5555555555555559E-2</v>
      </c>
      <c r="E101" s="414">
        <v>153000</v>
      </c>
      <c r="F101" s="423">
        <f t="shared" si="2"/>
        <v>8500</v>
      </c>
    </row>
    <row r="102" spans="1:8" ht="18">
      <c r="A102" s="421"/>
      <c r="B102" s="397" t="s">
        <v>208</v>
      </c>
      <c r="C102" s="399" t="s">
        <v>206</v>
      </c>
      <c r="D102" s="409">
        <f>(D93/1500)*8</f>
        <v>6.6666666666666666E-2</v>
      </c>
      <c r="E102" s="414">
        <v>50000</v>
      </c>
      <c r="F102" s="423">
        <f t="shared" si="2"/>
        <v>3333.3333333333335</v>
      </c>
    </row>
    <row r="103" spans="1:8" ht="18">
      <c r="A103" s="421"/>
      <c r="B103" s="397" t="s">
        <v>209</v>
      </c>
      <c r="C103" s="399" t="s">
        <v>206</v>
      </c>
      <c r="D103" s="409">
        <f>D102</f>
        <v>6.6666666666666666E-2</v>
      </c>
      <c r="E103" s="414">
        <v>60000</v>
      </c>
      <c r="F103" s="423">
        <f t="shared" si="2"/>
        <v>4000</v>
      </c>
    </row>
    <row r="104" spans="1:8" ht="18">
      <c r="A104" s="421"/>
      <c r="B104" s="397" t="s">
        <v>210</v>
      </c>
      <c r="C104" s="399" t="s">
        <v>21</v>
      </c>
      <c r="D104" s="409">
        <f>D93/(6000*0.2)</f>
        <v>1.0416666666666666E-2</v>
      </c>
      <c r="E104" s="414">
        <v>200000</v>
      </c>
      <c r="F104" s="423">
        <f t="shared" si="2"/>
        <v>2083.333333333333</v>
      </c>
    </row>
    <row r="105" spans="1:8" ht="18">
      <c r="A105" s="421"/>
      <c r="B105" s="397" t="s">
        <v>211</v>
      </c>
      <c r="C105" s="399" t="s">
        <v>21</v>
      </c>
      <c r="D105" s="409">
        <f>D104</f>
        <v>1.0416666666666666E-2</v>
      </c>
      <c r="E105" s="414">
        <v>180000</v>
      </c>
      <c r="F105" s="423">
        <f t="shared" si="2"/>
        <v>1875</v>
      </c>
    </row>
    <row r="106" spans="1:8" ht="19.5">
      <c r="A106" s="424"/>
      <c r="B106" s="396" t="s">
        <v>212</v>
      </c>
      <c r="C106" s="398"/>
      <c r="D106" s="410"/>
      <c r="E106" s="415"/>
      <c r="F106" s="422">
        <f>SUM(F100:F105)</f>
        <v>29791.666666666664</v>
      </c>
      <c r="H106" s="401"/>
    </row>
    <row r="107" spans="1:8" s="401" customFormat="1" ht="18">
      <c r="A107" s="405">
        <v>3.02</v>
      </c>
      <c r="B107" s="400" t="s">
        <v>216</v>
      </c>
      <c r="C107" s="407" t="s">
        <v>213</v>
      </c>
      <c r="D107" s="408">
        <f>250</f>
        <v>250</v>
      </c>
      <c r="E107" s="413">
        <f>F107/D107</f>
        <v>18979.028056497173</v>
      </c>
      <c r="F107" s="420">
        <f>F111+F115+F120</f>
        <v>4744757.0141242929</v>
      </c>
      <c r="H107"/>
    </row>
    <row r="108" spans="1:8" ht="16.5">
      <c r="A108" s="447"/>
      <c r="B108" s="396" t="s">
        <v>2</v>
      </c>
      <c r="C108" s="399"/>
      <c r="D108" s="409"/>
      <c r="E108" s="414"/>
      <c r="F108" s="422"/>
    </row>
    <row r="109" spans="1:8" ht="15.5">
      <c r="A109" s="447"/>
      <c r="B109" s="397" t="s">
        <v>202</v>
      </c>
      <c r="C109" s="399" t="s">
        <v>16</v>
      </c>
      <c r="D109" s="409">
        <f>D114*145</f>
        <v>132.91666666666666</v>
      </c>
      <c r="E109" s="414">
        <f>1609/1.18</f>
        <v>1363.5593220338983</v>
      </c>
      <c r="F109" s="423">
        <f>D109*E109</f>
        <v>181239.75988700564</v>
      </c>
    </row>
    <row r="110" spans="1:8" ht="15.5">
      <c r="A110" s="447"/>
      <c r="B110" s="397" t="s">
        <v>214</v>
      </c>
      <c r="C110" s="399" t="s">
        <v>85</v>
      </c>
      <c r="D110" s="409">
        <f>D107*55</f>
        <v>13750</v>
      </c>
      <c r="E110" s="414">
        <f>360/1.18</f>
        <v>305.08474576271186</v>
      </c>
      <c r="F110" s="423">
        <f>D110*E110</f>
        <v>4194915.2542372877</v>
      </c>
    </row>
    <row r="111" spans="1:8" ht="16.5">
      <c r="A111" s="447"/>
      <c r="B111" s="396" t="s">
        <v>127</v>
      </c>
      <c r="C111" s="398"/>
      <c r="D111" s="410"/>
      <c r="E111" s="415"/>
      <c r="F111" s="422">
        <f>SUM(F109:F110)</f>
        <v>4376155.0141242929</v>
      </c>
    </row>
    <row r="112" spans="1:8" ht="16.5">
      <c r="A112" s="447"/>
      <c r="B112" s="397"/>
      <c r="C112" s="399"/>
      <c r="D112" s="409"/>
      <c r="E112" s="414"/>
      <c r="F112" s="422"/>
    </row>
    <row r="113" spans="1:7" ht="16.5">
      <c r="A113" s="447"/>
      <c r="B113" s="396" t="s">
        <v>204</v>
      </c>
      <c r="C113" s="399"/>
      <c r="D113" s="409"/>
      <c r="E113" s="414"/>
      <c r="F113" s="422"/>
    </row>
    <row r="114" spans="1:7" ht="15.5">
      <c r="A114" s="447"/>
      <c r="B114" s="397" t="s">
        <v>215</v>
      </c>
      <c r="C114" s="399" t="s">
        <v>21</v>
      </c>
      <c r="D114" s="409">
        <f>D110/15000</f>
        <v>0.91666666666666663</v>
      </c>
      <c r="E114" s="414">
        <v>153000</v>
      </c>
      <c r="F114" s="423">
        <f>D114*E114</f>
        <v>140250</v>
      </c>
    </row>
    <row r="115" spans="1:7" ht="16.5">
      <c r="A115" s="447"/>
      <c r="B115" s="396" t="s">
        <v>212</v>
      </c>
      <c r="C115" s="398"/>
      <c r="D115" s="410"/>
      <c r="E115" s="415"/>
      <c r="F115" s="422">
        <f>SUM(F114:F114)</f>
        <v>140250</v>
      </c>
    </row>
    <row r="116" spans="1:7" ht="16.5">
      <c r="A116" s="447"/>
      <c r="B116" s="397"/>
      <c r="C116" s="399"/>
      <c r="D116" s="409"/>
      <c r="E116" s="414"/>
      <c r="F116" s="422"/>
    </row>
    <row r="117" spans="1:7" ht="16.5">
      <c r="A117" s="447"/>
      <c r="B117" s="396" t="s">
        <v>6</v>
      </c>
      <c r="C117" s="399"/>
      <c r="D117" s="409"/>
      <c r="E117" s="414"/>
      <c r="F117" s="422"/>
    </row>
    <row r="118" spans="1:7" ht="15.5">
      <c r="A118" s="447"/>
      <c r="B118" s="397" t="s">
        <v>24</v>
      </c>
      <c r="C118" s="399" t="s">
        <v>21</v>
      </c>
      <c r="D118" s="409">
        <f>D107/10</f>
        <v>25</v>
      </c>
      <c r="E118" s="453">
        <v>6088.08</v>
      </c>
      <c r="F118" s="423">
        <f>D118*E118</f>
        <v>152202</v>
      </c>
    </row>
    <row r="119" spans="1:7" ht="15.5">
      <c r="A119" s="447"/>
      <c r="B119" s="397" t="s">
        <v>25</v>
      </c>
      <c r="C119" s="399" t="s">
        <v>21</v>
      </c>
      <c r="D119" s="409">
        <f>D118</f>
        <v>25</v>
      </c>
      <c r="E119" s="416">
        <v>3046</v>
      </c>
      <c r="F119" s="423">
        <f>D119*E119</f>
        <v>76150</v>
      </c>
    </row>
    <row r="120" spans="1:7" ht="16.5">
      <c r="A120" s="454"/>
      <c r="B120" s="455" t="s">
        <v>78</v>
      </c>
      <c r="C120" s="456"/>
      <c r="D120" s="457"/>
      <c r="E120" s="458"/>
      <c r="F120" s="459">
        <f>SUM(F118:F119)</f>
        <v>228352</v>
      </c>
    </row>
    <row r="121" spans="1:7">
      <c r="B121" s="393"/>
      <c r="C121" s="394"/>
      <c r="D121" s="411"/>
      <c r="E121" s="395"/>
      <c r="F121" s="395"/>
    </row>
    <row r="122" spans="1:7">
      <c r="B122" s="393"/>
      <c r="C122" s="394"/>
      <c r="D122" s="411"/>
      <c r="E122" s="395"/>
      <c r="F122" s="395"/>
      <c r="G122" s="88"/>
    </row>
    <row r="123" spans="1:7">
      <c r="B123" s="393"/>
      <c r="C123" s="394"/>
      <c r="D123" s="411"/>
      <c r="E123" s="395"/>
      <c r="F123" s="395"/>
      <c r="G123" s="88"/>
    </row>
    <row r="124" spans="1:7">
      <c r="B124" s="393"/>
      <c r="C124" s="394"/>
      <c r="D124" s="411"/>
      <c r="E124" s="395"/>
      <c r="F124" s="395"/>
      <c r="G124" s="88"/>
    </row>
    <row r="125" spans="1:7">
      <c r="B125" s="393"/>
      <c r="C125" s="394"/>
      <c r="D125" s="411"/>
      <c r="E125" s="395"/>
      <c r="F125" s="395"/>
      <c r="G125" s="88"/>
    </row>
    <row r="126" spans="1:7">
      <c r="B126" s="393"/>
      <c r="C126" s="394"/>
      <c r="D126" s="411"/>
      <c r="E126" s="395"/>
      <c r="F126" s="395"/>
      <c r="G126" s="88"/>
    </row>
  </sheetData>
  <mergeCells count="7">
    <mergeCell ref="B2:E2"/>
    <mergeCell ref="B66:E66"/>
    <mergeCell ref="B92:E92"/>
    <mergeCell ref="B3:F3"/>
    <mergeCell ref="B34:F34"/>
    <mergeCell ref="B67:F67"/>
    <mergeCell ref="B79:F79"/>
  </mergeCells>
  <pageMargins left="0.7" right="0.7" top="0.75" bottom="0.75" header="0.3" footer="0.3"/>
  <ignoredErrors>
    <ignoredError sqref="D10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workbookViewId="0">
      <selection activeCell="E40" sqref="E40"/>
    </sheetView>
  </sheetViews>
  <sheetFormatPr defaultColWidth="8.90625" defaultRowHeight="14.5"/>
  <cols>
    <col min="1" max="1" width="7.453125" customWidth="1"/>
    <col min="2" max="2" width="33.453125" customWidth="1"/>
    <col min="4" max="4" width="18.6328125" style="330" customWidth="1"/>
    <col min="5" max="5" width="25" customWidth="1"/>
    <col min="6" max="6" width="25.08984375" style="330" customWidth="1"/>
  </cols>
  <sheetData>
    <row r="1" spans="1:6" s="372" customFormat="1" ht="32.5">
      <c r="B1" s="504" t="s">
        <v>189</v>
      </c>
      <c r="C1" s="504"/>
      <c r="D1" s="504"/>
      <c r="E1" s="504"/>
      <c r="F1" s="504"/>
    </row>
    <row r="2" spans="1:6" s="148" customFormat="1" ht="21.5">
      <c r="B2" s="390" t="s">
        <v>197</v>
      </c>
      <c r="C2" s="390" t="s">
        <v>121</v>
      </c>
      <c r="D2" s="390" t="s">
        <v>122</v>
      </c>
      <c r="E2" s="390" t="s">
        <v>198</v>
      </c>
      <c r="F2" s="390" t="s">
        <v>199</v>
      </c>
    </row>
    <row r="3" spans="1:6" ht="21" customHeight="1">
      <c r="A3" s="358">
        <v>1</v>
      </c>
      <c r="B3" s="359" t="s">
        <v>185</v>
      </c>
      <c r="C3" s="360" t="s">
        <v>10</v>
      </c>
      <c r="D3" s="387">
        <f>'ECD Classes'!D45+'ECD Classes'!D63+'ECD Classes'!D222+'Office space'!D222+'Office space'!D198+'ECD Classes'!D198+'Office space'!D45+'Office space'!D63+'Sleeping Area'!D45+'Sleeping Area'!D63+'Sleeping Area'!D198+'Sleeping Area'!D222+'Dining Area'!D45+'Dining Area'!D63+'Dining Area'!D198+'Dining Area'!D222+'Toilet &amp; Bathroom'!D45+'Toilet &amp; Bathroom'!D63+'Toilet &amp; Bathroom'!D198+'Toilet &amp; Bathroom'!D222+'Stock &amp; Kitchen'!D45+'Stock &amp; Kitchen'!D63+'Stock &amp; Kitchen'!D199+'Stock &amp; Kitchen'!D223</f>
        <v>22.898311978021983</v>
      </c>
      <c r="E3" s="361">
        <v>20000</v>
      </c>
      <c r="F3" s="358">
        <f t="shared" ref="F3:F33" si="0">E3*D3</f>
        <v>457966.23956043966</v>
      </c>
    </row>
    <row r="4" spans="1:6" ht="21" customHeight="1">
      <c r="A4" s="358">
        <v>2</v>
      </c>
      <c r="B4" s="359" t="s">
        <v>184</v>
      </c>
      <c r="C4" s="360" t="s">
        <v>12</v>
      </c>
      <c r="D4" s="387">
        <f>'ECD Classes'!D43+'ECD Classes'!D61+'ECD Classes'!D185+'ECD Classes'!D200+'ECD Classes'!D220+'ECD Classes'!D237+'ECD Classes'!D163+'ECD Classes'!D249+'ECD Classes'!D277+'Office space'!D277+'Office space'!D249+'Office space'!D237+'Office space'!D220+'Office space'!D200+'Office space'!D185+'Office space'!D163+'Office space'!D61+'Office space'!D43+'Sleeping Area'!D277+'Sleeping Area'!D249+'Sleeping Area'!D237+'Sleeping Area'!D220+'Sleeping Area'!D200+'Sleeping Area'!D185+'Sleeping Area'!D163+'Sleeping Area'!D61+'Sleeping Area'!D43+'Dining Area'!D277+'Dining Area'!D249+'Dining Area'!D237+'Dining Area'!D220+'Dining Area'!D200+'Dining Area'!D185+'Dining Area'!D163+'Dining Area'!D61+'Dining Area'!D43+'Toilet &amp; Bathroom'!D278+'Toilet &amp; Bathroom'!D249+'Toilet &amp; Bathroom'!D237+'Toilet &amp; Bathroom'!D220+'Toilet &amp; Bathroom'!D200+'Toilet &amp; Bathroom'!D185+'Toilet &amp; Bathroom'!D163+'Toilet &amp; Bathroom'!D61+'Toilet &amp; Bathroom'!D43+'Stock &amp; Kitchen'!D279+'Stock &amp; Kitchen'!D250+'Stock &amp; Kitchen'!D238+'Stock &amp; Kitchen'!D221+'Stock &amp; Kitchen'!D201+'Stock &amp; Kitchen'!D186+'Stock &amp; Kitchen'!D163+'Stock &amp; Kitchen'!D61+'Stock &amp; Kitchen'!D43</f>
        <v>555.47284330578009</v>
      </c>
      <c r="E4" s="362">
        <v>12000</v>
      </c>
      <c r="F4" s="358">
        <f t="shared" si="0"/>
        <v>6665674.119669361</v>
      </c>
    </row>
    <row r="5" spans="1:6" ht="15.5">
      <c r="A5" s="358">
        <v>3</v>
      </c>
      <c r="B5" s="257" t="s">
        <v>144</v>
      </c>
      <c r="C5" s="258" t="s">
        <v>1</v>
      </c>
      <c r="D5" s="339">
        <f>'Roofing&amp; Ceiling&amp;Paver'!D37+'Roofing&amp; Ceiling&amp;Paver'!D6</f>
        <v>294.14225000000005</v>
      </c>
      <c r="E5" s="328">
        <f>11000/1.18</f>
        <v>9322.033898305086</v>
      </c>
      <c r="F5" s="328">
        <f>E5*D5</f>
        <v>2742004.0254237298</v>
      </c>
    </row>
    <row r="6" spans="1:6" ht="21" customHeight="1">
      <c r="A6" s="358">
        <v>4</v>
      </c>
      <c r="B6" s="359" t="s">
        <v>13</v>
      </c>
      <c r="C6" s="360" t="s">
        <v>10</v>
      </c>
      <c r="D6" s="387">
        <f>'ECD Classes'!D44+'ECD Classes'!D62+'ECD Classes'!D164+'ECD Classes'!D186+'ECD Classes'!D199+'ECD Classes'!D221+'ECD Classes'!D250+'ECD Classes'!D278+'Office space'!D44+'Office space'!D62+'Office space'!D164+'Office space'!D186+'Office space'!D199+'Office space'!D221+'Office space'!D250+'Office space'!D278+'Sleeping Area'!D44+'Sleeping Area'!D62+'Sleeping Area'!D164+'Sleeping Area'!D186+'Sleeping Area'!D199+'Sleeping Area'!D221+'Sleeping Area'!D238+'Sleeping Area'!D250+'Sleeping Area'!D278+'Dining Area'!D44+'Dining Area'!D62+'Dining Area'!D164+'Dining Area'!D186+'Dining Area'!D199+'Dining Area'!D221+'Dining Area'!D250+'Dining Area'!D278+'Toilet &amp; Bathroom'!D44+'Toilet &amp; Bathroom'!D62+'Toilet &amp; Bathroom'!D164+'Toilet &amp; Bathroom'!D186+'Toilet &amp; Bathroom'!D199+'Toilet &amp; Bathroom'!D221+'Toilet &amp; Bathroom'!D250+'Toilet &amp; Bathroom'!D279+'Stock &amp; Kitchen'!D44+'Stock &amp; Kitchen'!D62+'Stock &amp; Kitchen'!D164+'Stock &amp; Kitchen'!D187+'Stock &amp; Kitchen'!D200+'Stock &amp; Kitchen'!D222+'Stock &amp; Kitchen'!D251+'Stock &amp; Kitchen'!D280</f>
        <v>86.274546170389186</v>
      </c>
      <c r="E6" s="361">
        <v>25000</v>
      </c>
      <c r="F6" s="358">
        <f t="shared" si="0"/>
        <v>2156863.6542597297</v>
      </c>
    </row>
    <row r="7" spans="1:6" ht="21" customHeight="1">
      <c r="A7" s="358">
        <v>5</v>
      </c>
      <c r="B7" s="359" t="s">
        <v>190</v>
      </c>
      <c r="C7" s="360" t="s">
        <v>10</v>
      </c>
      <c r="D7" s="387">
        <v>20</v>
      </c>
      <c r="E7" s="361">
        <v>20000</v>
      </c>
      <c r="F7" s="358">
        <f>E7*D7</f>
        <v>400000</v>
      </c>
    </row>
    <row r="8" spans="1:6" ht="21" customHeight="1">
      <c r="A8" s="358">
        <v>6</v>
      </c>
      <c r="B8" s="359" t="s">
        <v>84</v>
      </c>
      <c r="C8" s="360" t="s">
        <v>85</v>
      </c>
      <c r="D8" s="387">
        <f>'ECD Classes'!D80+'ECD Classes'!D91+'ECD Classes'!D102+'Office space'!D80+'Office space'!D91+'Office space'!D102+'Sleeping Area'!D80+'Sleeping Area'!D91+'Sleeping Area'!D102+'Dining Area'!D80+'Dining Area'!D91+'Dining Area'!D102+'Toilet &amp; Bathroom'!D80+'Toilet &amp; Bathroom'!D91+'Toilet &amp; Bathroom'!D102+'Stock &amp; Kitchen'!D80+'Stock &amp; Kitchen'!D91+'Stock &amp; Kitchen'!D102</f>
        <v>31.552083333333332</v>
      </c>
      <c r="E8" s="267">
        <f>38000/1.18</f>
        <v>32203.389830508477</v>
      </c>
      <c r="F8" s="358">
        <f t="shared" si="0"/>
        <v>1016084.0395480227</v>
      </c>
    </row>
    <row r="9" spans="1:6" ht="21" customHeight="1">
      <c r="A9" s="358">
        <v>7</v>
      </c>
      <c r="B9" s="359" t="s">
        <v>86</v>
      </c>
      <c r="C9" s="360" t="s">
        <v>85</v>
      </c>
      <c r="D9" s="387">
        <f>'ECD Classes'!D81+'ECD Classes'!D92+'ECD Classes'!D103+'Office space'!D103+'Office space'!D92+'Office space'!D81+'Sleeping Area'!D103+'Sleeping Area'!D92+'Sleeping Area'!D81+'Dining Area'!D92+'Dining Area'!D81+'Dining Area'!D103+'Toilet &amp; Bathroom'!D81+'Toilet &amp; Bathroom'!D92+'Toilet &amp; Bathroom'!D103+'Stock &amp; Kitchen'!D81+'Stock &amp; Kitchen'!D92+'Stock &amp; Kitchen'!D103+'Roofing&amp; Ceiling&amp;Paver'!D83+'Roofing&amp; Ceiling&amp;Paver'!D71</f>
        <v>576.6099999999999</v>
      </c>
      <c r="E9" s="361">
        <v>4000</v>
      </c>
      <c r="F9" s="358">
        <f t="shared" si="0"/>
        <v>2306439.9999999995</v>
      </c>
    </row>
    <row r="10" spans="1:6" ht="21" customHeight="1">
      <c r="A10" s="358">
        <v>8</v>
      </c>
      <c r="B10" s="359" t="s">
        <v>87</v>
      </c>
      <c r="C10" s="360" t="s">
        <v>88</v>
      </c>
      <c r="D10" s="387">
        <f>'Roofing&amp; Ceiling&amp;Paver'!D72+'Roofing&amp; Ceiling&amp;Paver'!D84+'Stock &amp; Kitchen'!D93+'Stock &amp; Kitchen'!D104+'Stock &amp; Kitchen'!D82+'Toilet &amp; Bathroom'!D103+'Toilet &amp; Bathroom'!D93+'Toilet &amp; Bathroom'!D82+'Dining Area'!D104+'Dining Area'!D93+'Dining Area'!D82+'Sleeping Area'!D82+'Sleeping Area'!D93+'Sleeping Area'!D104+'Office space'!D93+'Office space'!D82+'Office space'!D104+'ECD Classes'!D104+'ECD Classes'!D93+'ECD Classes'!D82</f>
        <v>121.235</v>
      </c>
      <c r="E10" s="361">
        <v>1271.18644067797</v>
      </c>
      <c r="F10" s="358">
        <f t="shared" si="0"/>
        <v>154112.2881355937</v>
      </c>
    </row>
    <row r="11" spans="1:6" ht="21" customHeight="1">
      <c r="A11" s="358">
        <v>9</v>
      </c>
      <c r="B11" s="21" t="s">
        <v>106</v>
      </c>
      <c r="C11" s="23" t="s">
        <v>88</v>
      </c>
      <c r="D11" s="146">
        <f>'Stock &amp; Kitchen'!D115+'Toilet &amp; Bathroom'!D114+'Dining Area'!D114+'Sleeping Area'!D114+'Office space'!D114+'ECD Classes'!D114</f>
        <v>1008.06655</v>
      </c>
      <c r="E11" s="267">
        <f>1300/1.18</f>
        <v>1101.6949152542375</v>
      </c>
      <c r="F11" s="358">
        <f t="shared" si="0"/>
        <v>1110581.7923728814</v>
      </c>
    </row>
    <row r="12" spans="1:6" ht="21" customHeight="1">
      <c r="A12" s="358">
        <v>10</v>
      </c>
      <c r="B12" s="359" t="s">
        <v>107</v>
      </c>
      <c r="C12" s="360" t="s">
        <v>88</v>
      </c>
      <c r="D12" s="387">
        <f>'Stock &amp; Kitchen'!D115+'Toilet &amp; Bathroom'!D115+'Dining Area'!D115+'Sleeping Area'!D115+'Office space'!D115+'ECD Classes'!D115</f>
        <v>27.3247</v>
      </c>
      <c r="E12" s="361">
        <v>1400</v>
      </c>
      <c r="F12" s="358">
        <f t="shared" si="0"/>
        <v>38254.58</v>
      </c>
    </row>
    <row r="13" spans="1:6" ht="21" customHeight="1">
      <c r="A13" s="358">
        <v>11</v>
      </c>
      <c r="B13" s="359" t="s">
        <v>152</v>
      </c>
      <c r="C13" s="360" t="s">
        <v>151</v>
      </c>
      <c r="D13" s="387">
        <f>'Roofing&amp; Ceiling&amp;Paver'!D48+'Roofing&amp; Ceiling&amp;Paver'!D17</f>
        <v>35.033333333333331</v>
      </c>
      <c r="E13" s="361">
        <v>6000</v>
      </c>
      <c r="F13" s="358">
        <f t="shared" si="0"/>
        <v>210200</v>
      </c>
    </row>
    <row r="14" spans="1:6" ht="21" customHeight="1">
      <c r="A14" s="358">
        <v>12</v>
      </c>
      <c r="B14" s="359" t="s">
        <v>153</v>
      </c>
      <c r="C14" s="360" t="s">
        <v>154</v>
      </c>
      <c r="D14" s="387">
        <f>'Roofing&amp; Ceiling&amp;Paver'!D49+'Roofing&amp; Ceiling&amp;Paver'!D18</f>
        <v>7.0066666666666659</v>
      </c>
      <c r="E14" s="361">
        <f>7000/1.18</f>
        <v>5932.203389830509</v>
      </c>
      <c r="F14" s="358">
        <f t="shared" si="0"/>
        <v>41564.971751412428</v>
      </c>
    </row>
    <row r="15" spans="1:6" ht="21" customHeight="1">
      <c r="A15" s="358">
        <v>13</v>
      </c>
      <c r="B15" s="359" t="s">
        <v>155</v>
      </c>
      <c r="C15" s="360" t="s">
        <v>4</v>
      </c>
      <c r="D15" s="387">
        <f>'Roofing&amp; Ceiling&amp;Paver'!D50+'Roofing&amp; Ceiling&amp;Paver'!D19</f>
        <v>35.033333333333331</v>
      </c>
      <c r="E15" s="361">
        <v>3000</v>
      </c>
      <c r="F15" s="358">
        <f t="shared" si="0"/>
        <v>105100</v>
      </c>
    </row>
    <row r="16" spans="1:6" ht="21" customHeight="1">
      <c r="A16" s="358">
        <v>14</v>
      </c>
      <c r="B16" s="359" t="s">
        <v>156</v>
      </c>
      <c r="C16" s="360" t="s">
        <v>4</v>
      </c>
      <c r="D16" s="387">
        <f>'Roofing&amp; Ceiling&amp;Paver'!D20+'Roofing&amp; Ceiling&amp;Paver'!D51</f>
        <v>35.033333333333331</v>
      </c>
      <c r="E16" s="361">
        <f>19000/4</f>
        <v>4750</v>
      </c>
      <c r="F16" s="358">
        <f t="shared" si="0"/>
        <v>166408.33333333331</v>
      </c>
    </row>
    <row r="17" spans="1:6" ht="21" customHeight="1">
      <c r="A17" s="358">
        <v>15</v>
      </c>
      <c r="B17" s="359" t="s">
        <v>157</v>
      </c>
      <c r="C17" s="360" t="s">
        <v>4</v>
      </c>
      <c r="D17" s="387">
        <f>'Roofing&amp; Ceiling&amp;Paver'!D52+'Roofing&amp; Ceiling&amp;Paver'!D21</f>
        <v>87.583333333333329</v>
      </c>
      <c r="E17" s="361">
        <f>8000/1.18</f>
        <v>6779.6610169491532</v>
      </c>
      <c r="F17" s="358">
        <f t="shared" si="0"/>
        <v>593785.31073446327</v>
      </c>
    </row>
    <row r="18" spans="1:6" ht="21" customHeight="1">
      <c r="A18" s="358">
        <v>16</v>
      </c>
      <c r="B18" s="359" t="s">
        <v>158</v>
      </c>
      <c r="C18" s="360" t="s">
        <v>44</v>
      </c>
      <c r="D18" s="387">
        <f>'Roofing&amp; Ceiling&amp;Paver'!D22+'Roofing&amp; Ceiling&amp;Paver'!D53</f>
        <v>5.8388888888888886</v>
      </c>
      <c r="E18" s="361">
        <f>22000/1.18</f>
        <v>18644.067796610172</v>
      </c>
      <c r="F18" s="358">
        <f t="shared" si="0"/>
        <v>108860.64030131827</v>
      </c>
    </row>
    <row r="19" spans="1:6" ht="21" customHeight="1">
      <c r="A19" s="358">
        <v>17</v>
      </c>
      <c r="B19" s="359" t="s">
        <v>180</v>
      </c>
      <c r="C19" s="360" t="s">
        <v>44</v>
      </c>
      <c r="D19" s="387">
        <f>'ECD Classes'!D187+'Office space'!D187+'Sleeping Area'!D187+'Dining Area'!D187+'Toilet &amp; Bathroom'!D187+'Stock &amp; Kitchen'!D188</f>
        <v>51637.156816390867</v>
      </c>
      <c r="E19" s="359">
        <f>50</f>
        <v>50</v>
      </c>
      <c r="F19" s="358">
        <f t="shared" si="0"/>
        <v>2581857.8408195432</v>
      </c>
    </row>
    <row r="20" spans="1:6" ht="21" customHeight="1">
      <c r="A20" s="358">
        <v>18</v>
      </c>
      <c r="B20" s="363" t="s">
        <v>181</v>
      </c>
      <c r="C20" s="364" t="s">
        <v>182</v>
      </c>
      <c r="D20" s="387">
        <f>'Stock &amp; Kitchen'!D265+'Toilet &amp; Bathroom'!D264+'Dining Area'!D263+'Sleeping Area'!D263+'Office space'!D263+'ECD Classes'!D263+'Stock &amp; Kitchen'!D297+'Toilet &amp; Bathroom'!D296+'Dining Area'!D295+'Sleeping Area'!D295+'Office space'!D295+'ECD Classes'!D295</f>
        <v>11.930400000000001</v>
      </c>
      <c r="E20" s="365">
        <v>2000</v>
      </c>
      <c r="F20" s="358">
        <f t="shared" si="0"/>
        <v>23860.800000000003</v>
      </c>
    </row>
    <row r="21" spans="1:6" ht="21" customHeight="1">
      <c r="A21" s="358">
        <v>19</v>
      </c>
      <c r="B21" s="363" t="s">
        <v>183</v>
      </c>
      <c r="C21" s="364" t="s">
        <v>182</v>
      </c>
      <c r="D21" s="387">
        <f>D20</f>
        <v>11.930400000000001</v>
      </c>
      <c r="E21" s="365">
        <v>1000</v>
      </c>
      <c r="F21" s="358">
        <f t="shared" si="0"/>
        <v>11930.400000000001</v>
      </c>
    </row>
    <row r="22" spans="1:6" ht="21" customHeight="1">
      <c r="A22" s="358">
        <v>20</v>
      </c>
      <c r="B22" s="103" t="str">
        <f>'[1]Emulsion Paint'!$B$22</f>
        <v>Emulsion paint ( 3 coats)</v>
      </c>
      <c r="C22" s="18" t="s">
        <v>57</v>
      </c>
      <c r="D22" s="5">
        <f>'Stock &amp; Kitchen'!D292+'Toilet &amp; Bathroom'!D291+'Dining Area'!D290+'Sleeping Area'!D290+'Office space'!D290+'ECD Classes'!D290</f>
        <v>170.17560000000003</v>
      </c>
      <c r="E22" s="20">
        <f>65000/20</f>
        <v>3250</v>
      </c>
      <c r="F22" s="358">
        <f t="shared" si="0"/>
        <v>553070.70000000007</v>
      </c>
    </row>
    <row r="23" spans="1:6" ht="21" customHeight="1">
      <c r="A23" s="358">
        <v>21</v>
      </c>
      <c r="B23" s="103" t="str">
        <f>'[1]Emulsion Paint'!$B$20</f>
        <v>Whiting/stucco ( 2 coats)</v>
      </c>
      <c r="C23" s="18" t="s">
        <v>67</v>
      </c>
      <c r="D23" s="5">
        <f>'Stock &amp; Kitchen'!D293+'Toilet &amp; Bathroom'!D292+'Dining Area'!D291+'Sleeping Area'!D291+'Office space'!D291+'ECD Classes'!D291</f>
        <v>2493.4153846153845</v>
      </c>
      <c r="E23" s="20">
        <f>16000/50</f>
        <v>320</v>
      </c>
      <c r="F23" s="358">
        <f t="shared" si="0"/>
        <v>797892.92307692301</v>
      </c>
    </row>
    <row r="24" spans="1:6" ht="21" customHeight="1">
      <c r="A24" s="358">
        <v>22</v>
      </c>
      <c r="B24" s="103" t="str">
        <f>'[1]Emulsion Paint'!$B$19</f>
        <v>Induit/undercoat ( 2 coats)</v>
      </c>
      <c r="C24" s="18" t="s">
        <v>57</v>
      </c>
      <c r="D24" s="5">
        <f>'Stock &amp; Kitchen'!D294+'Toilet &amp; Bathroom'!D293+'Dining Area'!D292+'Sleeping Area'!D292+'Office space'!D292+'ECD Classes'!D292+54</f>
        <v>167.4504</v>
      </c>
      <c r="E24" s="20">
        <f>20000/20</f>
        <v>1000</v>
      </c>
      <c r="F24" s="358">
        <f t="shared" si="0"/>
        <v>167450.4</v>
      </c>
    </row>
    <row r="25" spans="1:6" ht="21" customHeight="1">
      <c r="A25" s="358">
        <v>23</v>
      </c>
      <c r="B25" s="103" t="s">
        <v>68</v>
      </c>
      <c r="C25" s="18" t="s">
        <v>57</v>
      </c>
      <c r="D25" s="5">
        <f>'Stock &amp; Kitchen'!D295+'Toilet &amp; Bathroom'!D294+'Dining Area'!D293+'Sleeping Area'!D293+'Office space'!D293+'ECD Classes'!D293</f>
        <v>748.02461538461534</v>
      </c>
      <c r="E25" s="20">
        <f>20000/20</f>
        <v>1000</v>
      </c>
      <c r="F25" s="358">
        <f t="shared" si="0"/>
        <v>748024.61538461538</v>
      </c>
    </row>
    <row r="26" spans="1:6" ht="21" customHeight="1">
      <c r="A26" s="358">
        <v>24</v>
      </c>
      <c r="B26" s="103" t="str">
        <f>'[1]Emulsion Paint'!$B$21</f>
        <v>Colle</v>
      </c>
      <c r="C26" s="18" t="s">
        <v>69</v>
      </c>
      <c r="D26" s="5">
        <f>'Stock &amp; Kitchen'!D296+'Toilet &amp; Bathroom'!D295+'Dining Area'!D294+'Sleeping Area'!D294+'Office space'!D294+'ECD Classes'!D294</f>
        <v>24.934153846153844</v>
      </c>
      <c r="E26" s="20">
        <f>10500</f>
        <v>10500</v>
      </c>
      <c r="F26" s="358">
        <f t="shared" si="0"/>
        <v>261808.61538461538</v>
      </c>
    </row>
    <row r="27" spans="1:6" ht="21" customHeight="1">
      <c r="A27" s="358">
        <v>25</v>
      </c>
      <c r="B27" s="103" t="s">
        <v>58</v>
      </c>
      <c r="C27" s="18" t="s">
        <v>59</v>
      </c>
      <c r="D27" s="5">
        <f>D21</f>
        <v>11.930400000000001</v>
      </c>
      <c r="E27" s="20">
        <v>500</v>
      </c>
      <c r="F27" s="358">
        <f t="shared" si="0"/>
        <v>5965.2000000000007</v>
      </c>
    </row>
    <row r="28" spans="1:6" s="55" customFormat="1" ht="19.399999999999999" customHeight="1">
      <c r="A28" s="358">
        <v>26</v>
      </c>
      <c r="B28" s="257" t="s">
        <v>139</v>
      </c>
      <c r="C28" s="258" t="s">
        <v>140</v>
      </c>
      <c r="D28" s="339">
        <f>'Roofing&amp; Ceiling&amp;Paver'!D8+'Roofing&amp; Ceiling&amp;Paver'!D39</f>
        <v>3.5696875000000006</v>
      </c>
      <c r="E28" s="328">
        <f>21000/1.18</f>
        <v>17796.610169491527</v>
      </c>
      <c r="F28" s="328">
        <f>E28*D28</f>
        <v>63528.336864406796</v>
      </c>
    </row>
    <row r="29" spans="1:6" ht="21" customHeight="1">
      <c r="A29" s="358">
        <v>27</v>
      </c>
      <c r="B29" s="48" t="s">
        <v>65</v>
      </c>
      <c r="C29" s="44" t="s">
        <v>31</v>
      </c>
      <c r="D29" s="38">
        <f>'Stock &amp; Kitchen'!D281+'Toilet &amp; Bathroom'!D280+'Dining Area'!D279+'Sleeping Area'!D279+'Office space'!D279+'ECD Classes'!D279</f>
        <v>48.344947200000007</v>
      </c>
      <c r="E29" s="9">
        <f>9000/1.18</f>
        <v>7627.1186440677966</v>
      </c>
      <c r="F29" s="358">
        <f t="shared" si="0"/>
        <v>368732.64813559328</v>
      </c>
    </row>
    <row r="30" spans="1:6" ht="21" customHeight="1">
      <c r="A30" s="358">
        <v>28</v>
      </c>
      <c r="B30" s="48" t="s">
        <v>60</v>
      </c>
      <c r="C30" s="44" t="s">
        <v>44</v>
      </c>
      <c r="D30" s="38">
        <f>'Stock &amp; Kitchen'!D268+'Toilet &amp; Bathroom'!D267+'Dining Area'!D266+'Sleeping Area'!D266+'Office space'!D266+'ECD Classes'!D266</f>
        <v>7.6536000000000008</v>
      </c>
      <c r="E30" s="9">
        <v>5000</v>
      </c>
      <c r="F30" s="358">
        <f t="shared" si="0"/>
        <v>38268.000000000007</v>
      </c>
    </row>
    <row r="31" spans="1:6" ht="21" customHeight="1">
      <c r="A31" s="358">
        <v>29</v>
      </c>
      <c r="B31" s="48" t="s">
        <v>56</v>
      </c>
      <c r="C31" s="44" t="s">
        <v>57</v>
      </c>
      <c r="D31" s="38">
        <f>'Stock &amp; Kitchen'!D263+'Toilet &amp; Bathroom'!D262+'Dining Area'!D261+'Sleeping Area'!D261+'Office space'!D261+'ECD Classes'!D261</f>
        <v>80.362800000000007</v>
      </c>
      <c r="E31" s="9">
        <f>105000/20</f>
        <v>5250</v>
      </c>
      <c r="F31" s="358">
        <f t="shared" si="0"/>
        <v>421904.7</v>
      </c>
    </row>
    <row r="32" spans="1:6" ht="21" customHeight="1">
      <c r="A32" s="358">
        <v>30</v>
      </c>
      <c r="B32" s="367" t="s">
        <v>187</v>
      </c>
      <c r="C32" s="366" t="s">
        <v>188</v>
      </c>
      <c r="D32" s="388">
        <f>'Roofing&amp; Ceiling&amp;Paver'!D7+'Roofing&amp; Ceiling&amp;Paver'!D38</f>
        <v>2.8557500000000005</v>
      </c>
      <c r="E32" s="371">
        <f>15000/1.18</f>
        <v>12711.864406779661</v>
      </c>
      <c r="F32" s="358">
        <f t="shared" si="0"/>
        <v>36301.906779661025</v>
      </c>
    </row>
    <row r="33" spans="1:33" ht="21" customHeight="1">
      <c r="A33" s="358">
        <v>31</v>
      </c>
      <c r="B33" s="13" t="s">
        <v>37</v>
      </c>
      <c r="C33" s="9" t="s">
        <v>38</v>
      </c>
      <c r="D33" s="38">
        <f>'Stock &amp; Kitchen'!D174+'ECD Classes'!D173+'Office space'!D173+'Sleeping Area'!D173+'Dining Area'!D173+'Toilet &amp; Bathroom'!D173</f>
        <v>72.424999999999997</v>
      </c>
      <c r="E33" s="9">
        <f>2000/1.18</f>
        <v>1694.9152542372883</v>
      </c>
      <c r="F33" s="358">
        <f t="shared" si="0"/>
        <v>122754.2372881356</v>
      </c>
    </row>
    <row r="34" spans="1:33" ht="21" customHeight="1">
      <c r="A34" s="358">
        <v>32</v>
      </c>
      <c r="B34" s="10" t="s">
        <v>3</v>
      </c>
      <c r="C34" s="9" t="s">
        <v>4</v>
      </c>
      <c r="D34" s="38">
        <f>'ECD Classes'!D16+'ECD Classes'!D24+'ECD Classes'!D32+'Office space'!D32+'Office space'!D24+'Office space'!D16+'Sleeping Area'!D32+'Sleeping Area'!D24+'Sleeping Area'!D16+'Dining Area'!D32+'Dining Area'!D24+'Dining Area'!D16+'Toilet &amp; Bathroom'!D16+'Toilet &amp; Bathroom'!D24+'Toilet &amp; Bathroom'!D32+'Stock &amp; Kitchen'!D32+'Stock &amp; Kitchen'!D24+'Stock &amp; Kitchen'!D16</f>
        <v>35.120249999999999</v>
      </c>
      <c r="E34" s="9">
        <v>10000</v>
      </c>
      <c r="F34" s="358">
        <f>E34*D34</f>
        <v>351202.5</v>
      </c>
    </row>
    <row r="35" spans="1:33" ht="21" customHeight="1">
      <c r="A35" s="358">
        <v>33</v>
      </c>
      <c r="B35" s="13" t="s">
        <v>30</v>
      </c>
      <c r="C35" s="9" t="s">
        <v>28</v>
      </c>
      <c r="D35" s="38">
        <f>'ECD Classes'!D162+'ECD Classes'!D219+'Office space'!D162+'Office space'!D219+'Sleeping Area'!D162+'Sleeping Area'!D219+'Dining Area'!D162+'Dining Area'!D219+'Toilet &amp; Bathroom'!D162+'Toilet &amp; Bathroom'!D219+'Stock &amp; Kitchen'!D162+'Stock &amp; Kitchen'!D220</f>
        <v>99.925317647058833</v>
      </c>
      <c r="E35" s="9">
        <v>12000</v>
      </c>
      <c r="F35" s="358">
        <f>E35*D35</f>
        <v>1199103.8117647059</v>
      </c>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row>
    <row r="36" spans="1:33" s="53" customFormat="1" ht="21" customHeight="1">
      <c r="A36" s="358">
        <v>34</v>
      </c>
      <c r="B36" s="368" t="s">
        <v>99</v>
      </c>
      <c r="C36" s="369" t="s">
        <v>28</v>
      </c>
      <c r="D36" s="389">
        <f>'Stock &amp; Kitchen'!D127+'Stock &amp; Kitchen'!D138+'Stock &amp; Kitchen'!D149+'Toilet &amp; Bathroom'!D127+'Toilet &amp; Bathroom'!D138+'Toilet &amp; Bathroom'!D149+'ECD Classes'!D127+'ECD Classes'!D138+'ECD Classes'!D149+'Office space'!D127+'Office space'!D138+'Office space'!D149+'Sleeping Area'!D127+'Sleeping Area'!D138+'Sleeping Area'!D149+'Dining Area'!D127+'Dining Area'!D138+'Dining Area'!D149</f>
        <v>11.743050000000002</v>
      </c>
      <c r="E36" s="370">
        <v>100000</v>
      </c>
      <c r="F36" s="96">
        <f>E36*D36</f>
        <v>1174305.0000000002</v>
      </c>
      <c r="G36" s="464"/>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row>
    <row r="37" spans="1:33" s="463" customFormat="1" ht="19.649999999999999" customHeight="1">
      <c r="A37" s="358">
        <v>35</v>
      </c>
      <c r="B37" s="465" t="s">
        <v>228</v>
      </c>
      <c r="C37" s="9" t="s">
        <v>44</v>
      </c>
      <c r="D37" s="466">
        <f>'Roofing&amp; Ceiling&amp;Paver'!D110</f>
        <v>13750</v>
      </c>
      <c r="E37" s="414">
        <f>360/1.18</f>
        <v>305.08474576271186</v>
      </c>
      <c r="F37" s="466">
        <f>E37*D37</f>
        <v>4194915.2542372877</v>
      </c>
    </row>
  </sheetData>
  <mergeCells count="1">
    <mergeCell ref="B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Cost summary</vt:lpstr>
      <vt:lpstr>ECD Classes</vt:lpstr>
      <vt:lpstr>Office space</vt:lpstr>
      <vt:lpstr>Sleeping Area</vt:lpstr>
      <vt:lpstr>Dining Area</vt:lpstr>
      <vt:lpstr>Toilet &amp; Bathroom</vt:lpstr>
      <vt:lpstr>Stock &amp; Kitchen</vt:lpstr>
      <vt:lpstr>Roofing&amp; Ceiling&amp;Paver</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Nyakabingo ECD</dc:title>
  <dc:subject>BoQ</dc:subject>
  <dc:creator>Eng. Kevin M</dc:creator>
  <cp:keywords/>
  <dc:description/>
  <cp:lastModifiedBy>Joseph Muhiire</cp:lastModifiedBy>
  <dcterms:created xsi:type="dcterms:W3CDTF">2024-07-05T12:33:19Z</dcterms:created>
  <dcterms:modified xsi:type="dcterms:W3CDTF">2025-09-01T06:09:59Z</dcterms:modified>
  <cp:category/>
</cp:coreProperties>
</file>